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2.xml" ContentType="application/vnd.openxmlformats-officedocument.drawing+xml"/>
  <Override PartName="/xl/ctrlProps/ctrlProp16.xml" ContentType="application/vnd.ms-excel.controlproperties+xml"/>
  <Override PartName="/xl/drawings/drawing13.xml" ContentType="application/vnd.openxmlformats-officedocument.drawing+xml"/>
  <Override PartName="/xl/ctrlProps/ctrlProp17.xml" ContentType="application/vnd.ms-excel.controlproperties+xml"/>
  <Override PartName="/xl/drawings/drawing14.xml" ContentType="application/vnd.openxmlformats-officedocument.drawing+xml"/>
  <Override PartName="/xl/ctrlProps/ctrlProp18.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emostrade-my.sharepoint.com/personal/11507_demos-trade_com/Documents/Plocha/"/>
    </mc:Choice>
  </mc:AlternateContent>
  <xr:revisionPtr revIDLastSave="0" documentId="8_{687DE6EF-BEE4-40EF-A626-C6B94F99E92A}" xr6:coauthVersionLast="47" xr6:coauthVersionMax="47" xr10:uidLastSave="{00000000-0000-0000-0000-000000000000}"/>
  <workbookProtection workbookAlgorithmName="SHA-512" workbookHashValue="rPQSGGZqfmv9fbiCxD4o1DEs5pgGxVcfFfEQbIShocqKeFkhamq+IZiy7I8vv3PQC34BYAUZ/RvztvnR6l8naw==" workbookSaltValue="6si4yUPv0CX8GlEz+WMkIQ==" workbookSpinCount="100000" lockStructure="1"/>
  <bookViews>
    <workbookView showSheetTabs="0" xWindow="-120" yWindow="-120" windowWidth="29040" windowHeight="15720" xr2:uid="{C91BA66C-072E-422D-86DB-335067BF3425}"/>
  </bookViews>
  <sheets>
    <sheet name="Hlavní" sheetId="97" r:id="rId1"/>
    <sheet name="Zakaznik" sheetId="80" r:id="rId2"/>
    <sheet name="cennik transportu PL" sheetId="105" r:id="rId3"/>
    <sheet name="Sklo" sheetId="96" r:id="rId4"/>
    <sheet name="rozpad závěsů bez prázdn. řádků" sheetId="52" state="hidden" r:id="rId5"/>
    <sheet name="Translate&amp;Prices&amp;Logo" sheetId="53" state="hidden" r:id="rId6"/>
    <sheet name="Potvrzení" sheetId="100" r:id="rId7"/>
    <sheet name="závěsy dle výklopu" sheetId="51" state="hidden" r:id="rId8"/>
    <sheet name="Ram_1" sheetId="32" r:id="rId9"/>
    <sheet name="kombinace_1" sheetId="50" state="hidden" r:id="rId10"/>
    <sheet name="Ram_2" sheetId="91" r:id="rId11"/>
    <sheet name="kombinace_2" sheetId="55" state="hidden" r:id="rId12"/>
    <sheet name="Ram_3" sheetId="92" r:id="rId13"/>
    <sheet name="kombinace_3" sheetId="57" state="hidden" r:id="rId14"/>
    <sheet name="Ram_4" sheetId="93" r:id="rId15"/>
    <sheet name="kombinace_4" sheetId="59" state="hidden" r:id="rId16"/>
    <sheet name="Ram_5" sheetId="94" r:id="rId17"/>
    <sheet name="kombinace_5" sheetId="61" state="hidden" r:id="rId18"/>
    <sheet name="Ram_6" sheetId="95" r:id="rId19"/>
    <sheet name="kombinace_6" sheetId="63" state="hidden" r:id="rId20"/>
    <sheet name="Posuv" sheetId="73" r:id="rId21"/>
    <sheet name="Doprava Posun" sheetId="109" state="hidden" r:id="rId22"/>
    <sheet name="Typy profilů" sheetId="21" r:id="rId23"/>
    <sheet name="_souhrn" sheetId="71" r:id="rId24"/>
    <sheet name="Barevnice" sheetId="44" r:id="rId25"/>
    <sheet name="_souhrn (2)" sheetId="99" r:id="rId26"/>
    <sheet name="kalkulace dopravy" sheetId="106" state="hidden" r:id="rId27"/>
    <sheet name="doprava demont" sheetId="107" state="hidden" r:id="rId28"/>
  </sheets>
  <definedNames>
    <definedName name="_1">'závěsy dle výklopu'!$A$75:$A$76</definedName>
    <definedName name="_2">'závěsy dle výklopu'!$B$75:$B$77</definedName>
    <definedName name="_2_strany">'závěsy dle výklopu'!$AP$2:$AP$3</definedName>
    <definedName name="_3">'závěsy dle výklopu'!$C$75</definedName>
    <definedName name="_4_strany">'závěsy dle výklopu'!$AO$2:$AO$5</definedName>
    <definedName name="_A1">'závěsy dle výklopu'!$B$96:$B$111</definedName>
    <definedName name="_A2">'závěsy dle výklopu'!$D$96</definedName>
    <definedName name="_A3">'závěsy dle výklopu'!$F$96:$F$111</definedName>
    <definedName name="_corleone">'závěsy dle výklopu'!$A$97:$A$139</definedName>
    <definedName name="_xlnm._FilterDatabase" localSheetId="25" hidden="1">'_souhrn (2)'!$CK$1:$CL$119</definedName>
    <definedName name="_xlnm._FilterDatabase" localSheetId="9" hidden="1">kombinace_1!$ED$1:$EF$657</definedName>
    <definedName name="_xlnm._FilterDatabase" localSheetId="4" hidden="1">'rozpad závěsů bez prázdn. řádků'!$A$1:$F$66</definedName>
    <definedName name="_kombinovane_profily">kombinace_1!$F$18:$F$19</definedName>
    <definedName name="_N1">'závěsy dle výklopu'!$A$96:$A$139</definedName>
    <definedName name="_N2">'závěsy dle výklopu'!$C$96:$C$121</definedName>
    <definedName name="_N3">'závěsy dle výklopu'!$E$96:$E$111</definedName>
    <definedName name="_obrazek" localSheetId="11">IF(kombinace_2!$H$1="PRAVDA",kombinace_2!$G$23,IF(kombinace_2!$H$1="NEPRAVDA",kombinace_2!$G$31,0))</definedName>
    <definedName name="_obrazek" localSheetId="13">IF(kombinace_3!$H$1="PRAVDA",kombinace_3!$G$23,IF(kombinace_3!$H$1="NEPRAVDA",kombinace_3!$G$31,0))</definedName>
    <definedName name="_obrazek" localSheetId="15">IF(kombinace_4!$H$1="PRAVDA",kombinace_4!$G$23,IF(kombinace_4!$H$1="NEPRAVDA",kombinace_4!$G$31,0))</definedName>
    <definedName name="_obrazek" localSheetId="17">IF(kombinace_5!$H$1="PRAVDA",kombinace_5!$G$23,IF(kombinace_5!$H$1="NEPRAVDA",kombinace_5!$G$31,0))</definedName>
    <definedName name="_obrazek" localSheetId="19">IF(kombinace_6!$H$1="PRAVDA",kombinace_6!$G$23,IF(kombinace_6!$H$1="NEPRAVDA",kombinace_6!$G$31,0))</definedName>
    <definedName name="_obrazek">IF(kombinace_1!$H$1="PRAVDA",kombinace_1!$G$23,IF(kombinace_1!$H$1="NEPRAVDA",kombinace_1!$G$31,0))</definedName>
    <definedName name="_profily_síťka">'závěsy dle výklopu'!$A$81:$A$90</definedName>
    <definedName name="_ramena_HL">'Translate&amp;Prices&amp;Logo'!$B$618:$B$626</definedName>
    <definedName name="_Salice_naložený">kombinace_1!$FA$2:$FA$9</definedName>
    <definedName name="_strong_vzpera_horni">'Translate&amp;Prices&amp;Logo'!$B$595:$B$614</definedName>
    <definedName name="_stronglift_klopna">'Translate&amp;Prices&amp;Logo'!$B$616:$B$617</definedName>
    <definedName name="_široký_BLUM_naložený">'rozpad závěsů bez prázdn. řádků'!$G$24:$G$28</definedName>
    <definedName name="_široký_BLUM_polonaložený">'rozpad závěsů bez prázdn. řádků'!$G$29:$G$32</definedName>
    <definedName name="_široký_BLUM_vložený">'rozpad závěsů bez prázdn. řádků'!$G$33:$G$36</definedName>
    <definedName name="_široký_HETTICH_naložený">'rozpad závěsů bez prázdn. řádků'!$G$37:$G$41</definedName>
    <definedName name="_široký_HETTICH_polonaložený">'rozpad závěsů bez prázdn. řádků'!$G$42:$G$46</definedName>
    <definedName name="_široký_HETTICH_vložený">'rozpad závěsů bez prázdn. řádků'!$G$47:$G$51</definedName>
    <definedName name="_široký_STRONGHINGESS3_naložený">'rozpad závěsů bez prázdn. řádků'!$G$58:$G$60</definedName>
    <definedName name="_široký_STRONGHINGESS3_polonaložený">'rozpad závěsů bez prázdn. řádků'!$G$61:$G$63</definedName>
    <definedName name="_široký_STRONGHINGESS3_vložený">'rozpad závěsů bez prázdn. řádků'!$G$64:$G$66</definedName>
    <definedName name="_široký_STRONGHINGESS5_naložený">'rozpad závěsů bez prázdn. řádků'!$G$52:$G$53</definedName>
    <definedName name="_široký_STRONGHINGESS5_polonaložený">'rozpad závěsů bez prázdn. řádků'!$G$54:$G$55</definedName>
    <definedName name="_široký_STRONGHINGESS5_vložený">'rozpad závěsů bez prázdn. řádků'!$G$56:$G$57</definedName>
    <definedName name="_úzký_BLUM_naložený">'rozpad závěsů bez prázdn. řádků'!$G$2:$G$6</definedName>
    <definedName name="_úzký_BLUM_naložený_Rocca">'rozpad závěsů bez prázdn. řádků'!$G$3:$G$6</definedName>
    <definedName name="_úzký_BLUM_polonaložený">'rozpad závěsů bez prázdn. řádků'!$G$7:$G$8</definedName>
    <definedName name="_úzký_BLUM_polonaložený_Rocca">'rozpad závěsů bez prázdn. řádků'!$G$8</definedName>
    <definedName name="_úzký_BLUM_vložený">'rozpad závěsů bez prázdn. řádků'!$G$9:$G$10</definedName>
    <definedName name="_úzký_BLUM_vložený_Rocca">'rozpad závěsů bez prázdn. řádků'!$G$10</definedName>
    <definedName name="_úzký_HETTICH_naložený">'rozpad závěsů bez prázdn. řádků'!$G$11:$G$14</definedName>
    <definedName name="_úzký_HETTICH_polonaložený">'rozpad závěsů bez prázdn. řádků'!$G$15:$G$17</definedName>
    <definedName name="_úzký_HETTICH_vložený">'rozpad závěsů bez prázdn. řádků'!$G$18:$G$20</definedName>
    <definedName name="_úzký_STRONGHINGESS3_naložený">'rozpad závěsů bez prázdn. řádků'!$G$23</definedName>
    <definedName name="_úzký_STRONGHINGESS5_naložený">'rozpad závěsů bez prázdn. řádků'!$G$21:$I$21</definedName>
    <definedName name="_vše_profily">kombinace_1!$A$3:$A$68</definedName>
    <definedName name="_vyklopy_blum" localSheetId="11">kombinace_2!$AB$4:$AB$10</definedName>
    <definedName name="_vyklopy_blum" localSheetId="13">kombinace_3!$AB$4:$AB$10</definedName>
    <definedName name="_vyklopy_blum" localSheetId="15">kombinace_4!$AB$4:$AB$10</definedName>
    <definedName name="_vyklopy_blum" localSheetId="17">kombinace_5!$AB$4:$AB$10</definedName>
    <definedName name="_vyklopy_blum" localSheetId="19">kombinace_6!$AB$4:$AB$10</definedName>
    <definedName name="_vyklopy_blum">kombinace_1!$AB$4:$AB$10</definedName>
    <definedName name="_vyklopy_blum_kombo">kombinace_1!$AB$50:$AB$53</definedName>
    <definedName name="_vyklopy_hettich" localSheetId="11">kombinace_2!$AB$43:$AB$45</definedName>
    <definedName name="_vyklopy_hettich" localSheetId="13">kombinace_3!$AB$43:$AB$45</definedName>
    <definedName name="_vyklopy_hettich" localSheetId="15">kombinace_4!$AB$43:$AB$45</definedName>
    <definedName name="_vyklopy_hettich" localSheetId="17">kombinace_5!$AB$43:$AB$45</definedName>
    <definedName name="_vyklopy_hettich" localSheetId="19">kombinace_6!$AB$43:$AB$45</definedName>
    <definedName name="_vyklopy_hettich">kombinace_1!$AB$43:$AB$45</definedName>
    <definedName name="_vyklopy_italiana" localSheetId="11">kombinace_2!$AB$29:$AB$34</definedName>
    <definedName name="_vyklopy_italiana" localSheetId="13">kombinace_3!$AB$29:$AB$34</definedName>
    <definedName name="_vyklopy_italiana" localSheetId="15">kombinace_4!$AB$29:$AB$34</definedName>
    <definedName name="_vyklopy_italiana" localSheetId="17">kombinace_5!$AB$29:$AB$34</definedName>
    <definedName name="_vyklopy_italiana" localSheetId="19">kombinace_6!$AB$29:$AB$34</definedName>
    <definedName name="_vyklopy_italiana">kombinace_1!$AB$29:$AB$34</definedName>
    <definedName name="_vyklopy_kesse" localSheetId="11">kombinace_2!$AB$15:$AB$23</definedName>
    <definedName name="_vyklopy_kesse" localSheetId="13">kombinace_3!$AB$15:$AB$23</definedName>
    <definedName name="_vyklopy_kesse" localSheetId="15">kombinace_4!$AB$15:$AB$23</definedName>
    <definedName name="_vyklopy_kesse" localSheetId="17">kombinace_5!$AB$15:$AB$23</definedName>
    <definedName name="_vyklopy_kesse" localSheetId="19">kombinace_6!$AB$15:$AB$23</definedName>
    <definedName name="_vyklopy_kesse">kombinace_1!$AB$15:$AB$23</definedName>
    <definedName name="_vyklopy_kesse_kombo">kombinace_1!$AB$60:$AB$63</definedName>
    <definedName name="_vyklopy_strong" localSheetId="11">kombinace_2!$AB$40:$AB$41</definedName>
    <definedName name="_vyklopy_strong" localSheetId="13">kombinace_3!$AB$40:$AB$41</definedName>
    <definedName name="_vyklopy_strong" localSheetId="15">kombinace_4!$AB$40:$AB$41</definedName>
    <definedName name="_vyklopy_strong" localSheetId="17">kombinace_5!$AB$40:$AB$41</definedName>
    <definedName name="_vyklopy_strong" localSheetId="19">kombinace_6!$AB$40:$AB$41</definedName>
    <definedName name="_vyklopy_stronglift">kombinace_1!$AB$40:$AB$41</definedName>
    <definedName name="_zavesy_blum" localSheetId="11">kombinace_2!$AZ$10:$AZ$14</definedName>
    <definedName name="_zavesy_blum" localSheetId="13">kombinace_3!$AZ$10:$AZ$14</definedName>
    <definedName name="_zavesy_blum" localSheetId="15">kombinace_4!$AZ$10:$AZ$14</definedName>
    <definedName name="_zavesy_blum" localSheetId="17">kombinace_5!$AZ$10:$AZ$14</definedName>
    <definedName name="_zavesy_blum" localSheetId="19">kombinace_6!$AZ$10:$AZ$14</definedName>
    <definedName name="_zavesy_blum">kombinace_1!$AZ$10:$AZ$14</definedName>
    <definedName name="_zavesy_hettich" localSheetId="11">kombinace_2!$AZ$4:$AZ$8</definedName>
    <definedName name="_zavesy_hettich" localSheetId="13">kombinace_3!$AZ$4:$AZ$8</definedName>
    <definedName name="_zavesy_hettich" localSheetId="15">kombinace_4!$AZ$4:$AZ$8</definedName>
    <definedName name="_zavesy_hettich" localSheetId="17">kombinace_5!$AZ$4:$AZ$8</definedName>
    <definedName name="_zavesy_hettich" localSheetId="19">kombinace_6!$AZ$4:$AZ$8</definedName>
    <definedName name="_zavesy_hettich">kombinace_1!$AZ$4:$AZ$8</definedName>
    <definedName name="_zavesy_kombo">kombinace_1!$BY$32:$BY$33</definedName>
    <definedName name="_zavesy_strong" localSheetId="11">kombinace_2!$AZ$16:$AZ$20</definedName>
    <definedName name="_zavesy_strong" localSheetId="13">kombinace_3!$AZ$16:$AZ$20</definedName>
    <definedName name="_zavesy_strong" localSheetId="15">kombinace_4!$AZ$16:$AZ$20</definedName>
    <definedName name="_zavesy_strong" localSheetId="17">kombinace_5!$AZ$16:$AZ$20</definedName>
    <definedName name="_zavesy_strong" localSheetId="19">kombinace_6!$AZ$16:$AZ$20</definedName>
    <definedName name="_zavesy_stronghingesS5">kombinace_1!$AZ$16:$AZ$20</definedName>
    <definedName name="_znacka_vyklopy">'závěsy dle výklopu'!$BR$3:$BR$7</definedName>
    <definedName name="_znacka_zavesy">'závěsy dle výklopu'!$BQ$3:$BQ$7</definedName>
    <definedName name="_znacka_zavesy_proROMA">kombinace_1!$BQ$11</definedName>
    <definedName name="_xlnm.Print_Area" localSheetId="23">_souhrn!$A$1:$AP$173</definedName>
    <definedName name="_xlnm.Print_Area" localSheetId="25">'_souhrn (2)'!$A$4:$AR$224</definedName>
    <definedName name="_xlnm.Print_Area" localSheetId="8">Ram_1!$A$1:$AS$33</definedName>
    <definedName name="_xlnm.Print_Area" localSheetId="10">Ram_2!$A$1:$AS$33</definedName>
    <definedName name="_xlnm.Print_Area" localSheetId="12">Ram_3!$A$1:$AS$33</definedName>
    <definedName name="_xlnm.Print_Area" localSheetId="14">Ram_4!$A$1:$AS$33</definedName>
    <definedName name="_xlnm.Print_Area" localSheetId="16">Ram_5!$A$1:$AS$33</definedName>
    <definedName name="_xlnm.Print_Area" localSheetId="18">Ram_6!$A$1:$AS$33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9" i="53" l="1"/>
  <c r="Q249" i="53"/>
  <c r="P249" i="53"/>
  <c r="O249" i="53"/>
  <c r="N249" i="53"/>
  <c r="M249" i="53"/>
  <c r="AC191" i="99"/>
  <c r="AC155" i="99"/>
  <c r="AC119" i="99"/>
  <c r="AC83" i="99"/>
  <c r="AC47" i="99"/>
  <c r="AC11" i="99"/>
  <c r="D1" i="53"/>
  <c r="B561" i="53" s="1"/>
  <c r="BY14" i="63" s="1"/>
  <c r="B35" i="53"/>
  <c r="A45" i="63" s="1"/>
  <c r="B24" i="53"/>
  <c r="A54" i="61" s="1"/>
  <c r="B56" i="53"/>
  <c r="A55" i="63" s="1"/>
  <c r="B229" i="53"/>
  <c r="BY34" i="61" s="1"/>
  <c r="B674" i="53"/>
  <c r="D67" i="53"/>
  <c r="D68" i="53"/>
  <c r="B640" i="53"/>
  <c r="EN3" i="61" s="1"/>
  <c r="AM1" i="71"/>
  <c r="AO1" i="99" s="1"/>
  <c r="AC209" i="99"/>
  <c r="AC173" i="99"/>
  <c r="AC137" i="99"/>
  <c r="AC101" i="99"/>
  <c r="AC65" i="99"/>
  <c r="AC29" i="99"/>
  <c r="BU2" i="63"/>
  <c r="BU2" i="61"/>
  <c r="BU2" i="59"/>
  <c r="BU2" i="57"/>
  <c r="B661" i="53"/>
  <c r="CD16" i="63" s="1"/>
  <c r="B662" i="53"/>
  <c r="AB41" i="59" s="1"/>
  <c r="B565" i="53"/>
  <c r="X3" i="63" s="1"/>
  <c r="X54" i="95" s="1"/>
  <c r="B566" i="53"/>
  <c r="X4" i="61" s="1"/>
  <c r="X55" i="94" s="1"/>
  <c r="B567" i="53"/>
  <c r="X5" i="59" s="1"/>
  <c r="X56" i="93" s="1"/>
  <c r="T54" i="95" a="1"/>
  <c r="AA29" i="95"/>
  <c r="J14" i="63"/>
  <c r="J15" i="63"/>
  <c r="T47" i="95"/>
  <c r="AJ36" i="95" a="1"/>
  <c r="AJ36" i="95"/>
  <c r="AJ37" i="95"/>
  <c r="AJ38" i="95"/>
  <c r="AJ39" i="95"/>
  <c r="AJ40" i="95"/>
  <c r="B555" i="53"/>
  <c r="C12" i="52" s="1"/>
  <c r="D12" i="52" s="1"/>
  <c r="AU30" i="95"/>
  <c r="B175" i="53"/>
  <c r="B21" i="93" s="1"/>
  <c r="AV17" i="95"/>
  <c r="B234" i="53"/>
  <c r="B220" i="53"/>
  <c r="AT11" i="95"/>
  <c r="G7" i="95"/>
  <c r="B171" i="53"/>
  <c r="A2" i="94" s="1"/>
  <c r="T54" i="94" a="1"/>
  <c r="AA29" i="94"/>
  <c r="J14" i="61"/>
  <c r="J15" i="61"/>
  <c r="T47" i="94"/>
  <c r="AJ36" i="94" a="1"/>
  <c r="AJ36" i="94"/>
  <c r="AJ37" i="94"/>
  <c r="AJ38" i="94"/>
  <c r="AJ39" i="94"/>
  <c r="AJ40" i="94"/>
  <c r="AU30" i="94"/>
  <c r="AV17" i="94"/>
  <c r="AT11" i="94"/>
  <c r="G7" i="94"/>
  <c r="B584" i="53"/>
  <c r="E7" i="52" s="1"/>
  <c r="B586" i="53"/>
  <c r="E5" i="52" s="1"/>
  <c r="B630" i="53"/>
  <c r="K1" i="52" s="1"/>
  <c r="B631" i="53"/>
  <c r="M1" i="52" s="1"/>
  <c r="N49" i="52" s="1"/>
  <c r="B632" i="53"/>
  <c r="O1" i="52" s="1"/>
  <c r="P65" i="52" s="1"/>
  <c r="B633" i="53"/>
  <c r="Q1" i="52" s="1"/>
  <c r="B634" i="53"/>
  <c r="S1" i="52" s="1"/>
  <c r="B635" i="53"/>
  <c r="U1" i="52" s="1"/>
  <c r="V52" i="52" s="1"/>
  <c r="B636" i="53"/>
  <c r="W1" i="52" s="1"/>
  <c r="X19" i="52" s="1"/>
  <c r="B588" i="53"/>
  <c r="F12" i="52" s="1"/>
  <c r="T54" i="93" a="1"/>
  <c r="AA29" i="93"/>
  <c r="J14" i="59"/>
  <c r="J15" i="59"/>
  <c r="T47" i="93"/>
  <c r="AJ36" i="93" a="1"/>
  <c r="AJ36" i="93"/>
  <c r="AJ37" i="93"/>
  <c r="AJ38" i="93"/>
  <c r="AJ39" i="93"/>
  <c r="AJ40" i="93"/>
  <c r="AU30" i="93"/>
  <c r="B579" i="53"/>
  <c r="AV17" i="93"/>
  <c r="B240" i="53"/>
  <c r="B224" i="53"/>
  <c r="AT11" i="93"/>
  <c r="BY14" i="59"/>
  <c r="G7" i="93"/>
  <c r="T54" i="92" a="1"/>
  <c r="AA29" i="92"/>
  <c r="J14" i="57"/>
  <c r="J15" i="57"/>
  <c r="T47" i="92"/>
  <c r="AJ36" i="92" a="1"/>
  <c r="AJ36" i="92"/>
  <c r="AJ37" i="92"/>
  <c r="AJ38" i="92"/>
  <c r="AJ39" i="92"/>
  <c r="AJ40" i="92"/>
  <c r="AU30" i="92"/>
  <c r="AV17" i="92"/>
  <c r="AT11" i="92"/>
  <c r="BY14" i="57"/>
  <c r="G7" i="92"/>
  <c r="EF65" i="63"/>
  <c r="F17" i="63"/>
  <c r="F16" i="63"/>
  <c r="F15" i="63"/>
  <c r="F14" i="63"/>
  <c r="B653" i="53"/>
  <c r="FA9" i="55" s="1"/>
  <c r="B652" i="53"/>
  <c r="FA8" i="59" s="1"/>
  <c r="B651" i="53"/>
  <c r="FA7" i="55" s="1"/>
  <c r="B650" i="53"/>
  <c r="FA6" i="55" s="1"/>
  <c r="B649" i="53"/>
  <c r="FA5" i="57" s="1"/>
  <c r="B169" i="53"/>
  <c r="EY5" i="63" s="1"/>
  <c r="B648" i="53"/>
  <c r="FA4" i="63" s="1"/>
  <c r="B168" i="53"/>
  <c r="EY4" i="61" s="1"/>
  <c r="BU3" i="63"/>
  <c r="B646" i="53"/>
  <c r="FA2" i="57" s="1"/>
  <c r="B166" i="53"/>
  <c r="EY2" i="55" s="1"/>
  <c r="EF65" i="61"/>
  <c r="F17" i="61"/>
  <c r="F16" i="61"/>
  <c r="F15" i="61"/>
  <c r="F14" i="61"/>
  <c r="BU3" i="61"/>
  <c r="EF65" i="59"/>
  <c r="F17" i="59"/>
  <c r="F16" i="59"/>
  <c r="F15" i="59"/>
  <c r="F14" i="59"/>
  <c r="BU3" i="59"/>
  <c r="EF65" i="57"/>
  <c r="F17" i="57"/>
  <c r="F16" i="57"/>
  <c r="F15" i="57"/>
  <c r="F14" i="57"/>
  <c r="BU3" i="57"/>
  <c r="M11" i="55"/>
  <c r="N11" i="55" s="1"/>
  <c r="BU2" i="55"/>
  <c r="EF65" i="55"/>
  <c r="F17" i="55"/>
  <c r="F16" i="55"/>
  <c r="J15" i="55"/>
  <c r="F15" i="55"/>
  <c r="BY14" i="55"/>
  <c r="J14" i="55"/>
  <c r="F14" i="55"/>
  <c r="BU3" i="55"/>
  <c r="X54" i="91" a="1"/>
  <c r="T54" i="91" a="1"/>
  <c r="AA29" i="91"/>
  <c r="T47" i="91"/>
  <c r="AJ36" i="91" a="1"/>
  <c r="AJ36" i="91"/>
  <c r="AJ37" i="91"/>
  <c r="AJ38" i="91"/>
  <c r="AJ39" i="91"/>
  <c r="AJ40" i="91"/>
  <c r="AU30" i="91"/>
  <c r="AV17" i="91"/>
  <c r="G7" i="91"/>
  <c r="B233" i="53"/>
  <c r="K61" i="92" s="1"/>
  <c r="AT43" i="95"/>
  <c r="B27" i="53"/>
  <c r="C81" i="53" s="1"/>
  <c r="B32" i="53"/>
  <c r="C79" i="53" s="1"/>
  <c r="B49" i="53"/>
  <c r="D82" i="53" s="1"/>
  <c r="B51" i="53"/>
  <c r="C6" i="53"/>
  <c r="D6" i="53"/>
  <c r="C7" i="53"/>
  <c r="D7" i="53"/>
  <c r="C8" i="53"/>
  <c r="D8" i="53"/>
  <c r="C9" i="53"/>
  <c r="D9" i="53"/>
  <c r="C10" i="53"/>
  <c r="D10" i="53"/>
  <c r="C11" i="53"/>
  <c r="D11" i="53"/>
  <c r="C12" i="53"/>
  <c r="D12" i="53"/>
  <c r="C13" i="53"/>
  <c r="D13" i="53"/>
  <c r="C14" i="53"/>
  <c r="D14" i="53"/>
  <c r="C15" i="53"/>
  <c r="D15" i="53"/>
  <c r="C16" i="53"/>
  <c r="D16" i="53"/>
  <c r="C17" i="53"/>
  <c r="D17" i="53"/>
  <c r="C18" i="53"/>
  <c r="D18" i="53"/>
  <c r="C19" i="53"/>
  <c r="D19" i="53"/>
  <c r="C20" i="53"/>
  <c r="D20" i="53"/>
  <c r="C21" i="53"/>
  <c r="D21" i="53"/>
  <c r="C22" i="53"/>
  <c r="D22" i="53"/>
  <c r="C23" i="53"/>
  <c r="D23" i="53"/>
  <c r="C24" i="53"/>
  <c r="D24" i="53"/>
  <c r="C25" i="53"/>
  <c r="D25" i="53"/>
  <c r="C26" i="53"/>
  <c r="D26" i="53"/>
  <c r="C27" i="53"/>
  <c r="D27" i="53"/>
  <c r="C28" i="53"/>
  <c r="D28" i="53"/>
  <c r="C29" i="53"/>
  <c r="D29" i="53"/>
  <c r="C30" i="53"/>
  <c r="D30" i="53"/>
  <c r="C31" i="53"/>
  <c r="D31" i="53"/>
  <c r="C32" i="53"/>
  <c r="D32" i="53"/>
  <c r="C33" i="53"/>
  <c r="D33" i="53"/>
  <c r="C34" i="53"/>
  <c r="D34" i="53"/>
  <c r="C35" i="53"/>
  <c r="D35" i="53"/>
  <c r="C36" i="53"/>
  <c r="D36" i="53"/>
  <c r="C37" i="53"/>
  <c r="D37" i="53"/>
  <c r="C38" i="53"/>
  <c r="D38" i="53"/>
  <c r="C39" i="53"/>
  <c r="D39" i="53"/>
  <c r="C40" i="53"/>
  <c r="D40" i="53"/>
  <c r="C41" i="53"/>
  <c r="D41" i="53"/>
  <c r="C42" i="53"/>
  <c r="D42" i="53"/>
  <c r="C43" i="53"/>
  <c r="D43" i="53"/>
  <c r="C44" i="53"/>
  <c r="D44" i="53"/>
  <c r="C45" i="53"/>
  <c r="D45" i="53"/>
  <c r="C46" i="53"/>
  <c r="D46" i="53"/>
  <c r="C47" i="53"/>
  <c r="D47" i="53"/>
  <c r="C48" i="53"/>
  <c r="D48" i="53"/>
  <c r="C49" i="53"/>
  <c r="D49" i="53"/>
  <c r="C50" i="53"/>
  <c r="D50" i="53"/>
  <c r="C52" i="53"/>
  <c r="D52" i="53"/>
  <c r="C53" i="53"/>
  <c r="D53" i="53"/>
  <c r="B54" i="53"/>
  <c r="D83" i="53" s="1"/>
  <c r="C54" i="53"/>
  <c r="D54" i="53"/>
  <c r="C55" i="53"/>
  <c r="D55" i="53"/>
  <c r="C56" i="53"/>
  <c r="D56" i="53"/>
  <c r="C57" i="53"/>
  <c r="D57" i="53"/>
  <c r="C58" i="53"/>
  <c r="D58" i="53"/>
  <c r="C59" i="53"/>
  <c r="D59" i="53"/>
  <c r="C60" i="53"/>
  <c r="D60" i="53"/>
  <c r="C61" i="53"/>
  <c r="D61" i="53"/>
  <c r="C62" i="53"/>
  <c r="D62" i="53"/>
  <c r="C63" i="53"/>
  <c r="D63" i="53"/>
  <c r="C64" i="53"/>
  <c r="D64" i="53"/>
  <c r="C65" i="53"/>
  <c r="D65" i="53"/>
  <c r="C71" i="53"/>
  <c r="D71" i="53"/>
  <c r="C72" i="53"/>
  <c r="D72" i="53"/>
  <c r="C73" i="53"/>
  <c r="D73" i="53"/>
  <c r="C74" i="53"/>
  <c r="D74" i="53"/>
  <c r="C75" i="53"/>
  <c r="D75" i="53"/>
  <c r="C76" i="53"/>
  <c r="D76" i="53"/>
  <c r="B183" i="53"/>
  <c r="AE41" i="95"/>
  <c r="U41" i="95"/>
  <c r="B101" i="53"/>
  <c r="A96" i="51" s="1"/>
  <c r="B104" i="53"/>
  <c r="B105" i="53"/>
  <c r="B106" i="53"/>
  <c r="C105" i="51" s="1"/>
  <c r="C101" i="53"/>
  <c r="C102" i="53"/>
  <c r="C103" i="53"/>
  <c r="C104" i="53"/>
  <c r="C105" i="53"/>
  <c r="C106" i="53"/>
  <c r="B107" i="53"/>
  <c r="A100" i="51" s="1"/>
  <c r="C107" i="53"/>
  <c r="B108" i="53"/>
  <c r="A98" i="51" s="1"/>
  <c r="C108" i="53"/>
  <c r="B109" i="53"/>
  <c r="C109" i="53"/>
  <c r="B110" i="53"/>
  <c r="C108" i="51" s="1"/>
  <c r="C110" i="53"/>
  <c r="B111" i="53"/>
  <c r="C109" i="51" s="1"/>
  <c r="C111" i="53"/>
  <c r="B112" i="53"/>
  <c r="A107" i="51" s="1"/>
  <c r="C112" i="53"/>
  <c r="B113" i="53"/>
  <c r="A120" i="51" s="1"/>
  <c r="C113" i="53"/>
  <c r="B115" i="53"/>
  <c r="A108" i="51" s="1"/>
  <c r="C115" i="53"/>
  <c r="B116" i="53"/>
  <c r="C116" i="53"/>
  <c r="B117" i="53"/>
  <c r="A110" i="51" s="1"/>
  <c r="C117" i="53"/>
  <c r="B118" i="53"/>
  <c r="E97" i="51" s="1"/>
  <c r="C118" i="53"/>
  <c r="B119" i="53"/>
  <c r="A112" i="51" s="1"/>
  <c r="C119" i="53"/>
  <c r="B120" i="53"/>
  <c r="A113" i="51" s="1"/>
  <c r="C120" i="53"/>
  <c r="B121" i="53"/>
  <c r="A117" i="51" s="1"/>
  <c r="C121" i="53"/>
  <c r="B122" i="53"/>
  <c r="C114" i="51" s="1"/>
  <c r="C122" i="53"/>
  <c r="B123" i="53"/>
  <c r="A102" i="51" s="1"/>
  <c r="C123" i="53"/>
  <c r="B124" i="53"/>
  <c r="C117" i="51" s="1"/>
  <c r="C124" i="53"/>
  <c r="B125" i="53"/>
  <c r="A119" i="51" s="1"/>
  <c r="C125" i="53"/>
  <c r="B127" i="53"/>
  <c r="A103" i="51" s="1"/>
  <c r="C127" i="53"/>
  <c r="B128" i="53"/>
  <c r="A121" i="51" s="1"/>
  <c r="C128" i="53"/>
  <c r="B129" i="53"/>
  <c r="C129" i="53"/>
  <c r="B130" i="53"/>
  <c r="C104" i="51" s="1"/>
  <c r="C130" i="53"/>
  <c r="B131" i="53"/>
  <c r="A114" i="51" s="1"/>
  <c r="C131" i="53"/>
  <c r="B132" i="53"/>
  <c r="A116" i="51" s="1"/>
  <c r="C132" i="53"/>
  <c r="B133" i="53"/>
  <c r="A115" i="51" s="1"/>
  <c r="C133" i="53"/>
  <c r="B135" i="53"/>
  <c r="A123" i="51" s="1"/>
  <c r="C135" i="53"/>
  <c r="B137" i="53"/>
  <c r="C137" i="53"/>
  <c r="B138" i="53"/>
  <c r="F103" i="51" s="1"/>
  <c r="C138" i="53"/>
  <c r="B139" i="53"/>
  <c r="B104" i="51" s="1"/>
  <c r="C139" i="53"/>
  <c r="B140" i="53"/>
  <c r="A127" i="51" s="1"/>
  <c r="C140" i="53"/>
  <c r="B141" i="53"/>
  <c r="A128" i="51" s="1"/>
  <c r="C141" i="53"/>
  <c r="B142" i="53"/>
  <c r="A136" i="51" s="1"/>
  <c r="C142" i="53"/>
  <c r="B143" i="53"/>
  <c r="C143" i="53"/>
  <c r="B146" i="53"/>
  <c r="A138" i="51" s="1"/>
  <c r="C146" i="53"/>
  <c r="B147" i="53"/>
  <c r="A139" i="51" s="1"/>
  <c r="C147" i="53"/>
  <c r="B156" i="53"/>
  <c r="A129" i="51" s="1"/>
  <c r="C156" i="53"/>
  <c r="B157" i="53"/>
  <c r="A130" i="51" s="1"/>
  <c r="C157" i="53"/>
  <c r="B162" i="53"/>
  <c r="A131" i="51" s="1"/>
  <c r="C162" i="53"/>
  <c r="B163" i="53"/>
  <c r="A134" i="51" s="1"/>
  <c r="C163" i="53"/>
  <c r="B164" i="53"/>
  <c r="B110" i="51" s="1"/>
  <c r="C164" i="53"/>
  <c r="B165" i="53"/>
  <c r="A133" i="51" s="1"/>
  <c r="C165" i="53"/>
  <c r="C166" i="53"/>
  <c r="C167" i="53"/>
  <c r="C168" i="53"/>
  <c r="C169" i="53"/>
  <c r="B558" i="53"/>
  <c r="B559" i="53"/>
  <c r="B643" i="53"/>
  <c r="B33" i="94" s="1"/>
  <c r="B173" i="53"/>
  <c r="B32" i="95" s="1"/>
  <c r="B569" i="53"/>
  <c r="AO31" i="94" s="1"/>
  <c r="B177" i="53"/>
  <c r="AF30" i="94" s="1"/>
  <c r="P30" i="95"/>
  <c r="AT15" i="95"/>
  <c r="AW24" i="95"/>
  <c r="B180" i="53"/>
  <c r="B30" i="93" s="1"/>
  <c r="B227" i="53"/>
  <c r="S22" i="73" s="1"/>
  <c r="B243" i="53"/>
  <c r="B176" i="53"/>
  <c r="B28" i="95" s="1"/>
  <c r="B552" i="53"/>
  <c r="B27" i="94" s="1"/>
  <c r="B551" i="53"/>
  <c r="B26" i="95" s="1"/>
  <c r="B550" i="53"/>
  <c r="AF9" i="95" s="1"/>
  <c r="B627" i="53"/>
  <c r="B25" i="95" s="1"/>
  <c r="AS24" i="95"/>
  <c r="B179" i="53"/>
  <c r="S24" i="95" s="1"/>
  <c r="B564" i="53"/>
  <c r="B24" i="95" s="1"/>
  <c r="B575" i="53"/>
  <c r="H23" i="93" s="1"/>
  <c r="B178" i="53"/>
  <c r="AR19" i="94" s="1"/>
  <c r="B638" i="53"/>
  <c r="AL19" i="95" s="1"/>
  <c r="AU15" i="95"/>
  <c r="AU16" i="95"/>
  <c r="AV15" i="95"/>
  <c r="AV16" i="95"/>
  <c r="AW16" i="95"/>
  <c r="AW15" i="95"/>
  <c r="B547" i="53"/>
  <c r="B15" i="91" s="1"/>
  <c r="S13" i="95"/>
  <c r="B546" i="53"/>
  <c r="B13" i="93" s="1"/>
  <c r="B260" i="53"/>
  <c r="B12" i="94" s="1"/>
  <c r="B545" i="53"/>
  <c r="B639" i="53"/>
  <c r="AE10" i="93" s="1"/>
  <c r="B174" i="53"/>
  <c r="E8" i="94" s="1"/>
  <c r="B655" i="53"/>
  <c r="B8" i="94" s="1"/>
  <c r="B574" i="53"/>
  <c r="S7" i="93" s="1"/>
  <c r="B544" i="53"/>
  <c r="B7" i="32" s="1"/>
  <c r="F5" i="95"/>
  <c r="B5" i="95"/>
  <c r="BI3" i="95"/>
  <c r="BD3" i="95"/>
  <c r="B542" i="53"/>
  <c r="AP2" i="92" s="1"/>
  <c r="AT43" i="94"/>
  <c r="AE41" i="94"/>
  <c r="U41" i="94"/>
  <c r="P30" i="94"/>
  <c r="AT15" i="94"/>
  <c r="AW24" i="94"/>
  <c r="AS24" i="94"/>
  <c r="AU15" i="94"/>
  <c r="AU16" i="94"/>
  <c r="AV15" i="94"/>
  <c r="AV16" i="94"/>
  <c r="AW16" i="94"/>
  <c r="AW15" i="94"/>
  <c r="B577" i="53"/>
  <c r="S13" i="94"/>
  <c r="V5" i="94"/>
  <c r="J5" i="94"/>
  <c r="F5" i="94"/>
  <c r="BI3" i="94"/>
  <c r="BD3" i="94"/>
  <c r="H67" i="93"/>
  <c r="AT43" i="93"/>
  <c r="AE41" i="93"/>
  <c r="U41" i="93"/>
  <c r="P30" i="93"/>
  <c r="AT15" i="93"/>
  <c r="AW24" i="93"/>
  <c r="AS24" i="93"/>
  <c r="AU15" i="93"/>
  <c r="AU16" i="93"/>
  <c r="AV15" i="93"/>
  <c r="AV16" i="93"/>
  <c r="AW16" i="93"/>
  <c r="AW15" i="93"/>
  <c r="B548" i="53"/>
  <c r="S13" i="93"/>
  <c r="F5" i="93"/>
  <c r="B5" i="93"/>
  <c r="BI3" i="93"/>
  <c r="BD3" i="93"/>
  <c r="H67" i="92"/>
  <c r="AT43" i="92"/>
  <c r="AE41" i="92"/>
  <c r="U41" i="92"/>
  <c r="P30" i="92"/>
  <c r="AT15" i="92"/>
  <c r="AW24" i="92"/>
  <c r="AS24" i="92"/>
  <c r="AU15" i="92"/>
  <c r="AU16" i="92"/>
  <c r="AV15" i="92"/>
  <c r="AV16" i="92"/>
  <c r="AW16" i="92"/>
  <c r="AW15" i="92"/>
  <c r="S13" i="92"/>
  <c r="J5" i="92"/>
  <c r="F5" i="92"/>
  <c r="BI3" i="92"/>
  <c r="BD3" i="92"/>
  <c r="H67" i="91"/>
  <c r="AT43" i="91"/>
  <c r="AE41" i="91"/>
  <c r="U41" i="91"/>
  <c r="P30" i="91"/>
  <c r="AT15" i="91"/>
  <c r="AW24" i="91"/>
  <c r="AS24" i="91"/>
  <c r="AU15" i="91"/>
  <c r="AU16" i="91"/>
  <c r="AV15" i="91"/>
  <c r="AV16" i="91"/>
  <c r="AW16" i="91"/>
  <c r="AW15" i="91"/>
  <c r="S13" i="91"/>
  <c r="V5" i="91"/>
  <c r="N5" i="91"/>
  <c r="F5" i="91"/>
  <c r="BI3" i="91"/>
  <c r="BD3" i="91"/>
  <c r="U94" i="73"/>
  <c r="B664" i="53"/>
  <c r="CU9" i="51" s="1"/>
  <c r="B665" i="53"/>
  <c r="CQ9" i="51" s="1"/>
  <c r="AA29" i="32"/>
  <c r="BU2" i="50"/>
  <c r="BU3" i="50"/>
  <c r="AJ9" i="96"/>
  <c r="G27" i="109"/>
  <c r="H27" i="109"/>
  <c r="J27" i="109"/>
  <c r="I27" i="109"/>
  <c r="M27" i="109"/>
  <c r="R27" i="109"/>
  <c r="G28" i="109"/>
  <c r="H28" i="109"/>
  <c r="J28" i="109"/>
  <c r="I28" i="109"/>
  <c r="M28" i="109"/>
  <c r="R28" i="109"/>
  <c r="AD7" i="96"/>
  <c r="AC7" i="96"/>
  <c r="AG7" i="96"/>
  <c r="AE28" i="109"/>
  <c r="AE27" i="109"/>
  <c r="AE26" i="109"/>
  <c r="W19" i="107"/>
  <c r="X19" i="107"/>
  <c r="S19" i="107"/>
  <c r="N19" i="107"/>
  <c r="O19" i="107"/>
  <c r="T19" i="107"/>
  <c r="W20" i="107"/>
  <c r="X20" i="107"/>
  <c r="S20" i="107"/>
  <c r="N20" i="107"/>
  <c r="O20" i="107"/>
  <c r="T20" i="107"/>
  <c r="AC189" i="99"/>
  <c r="AC153" i="99"/>
  <c r="AC117" i="99"/>
  <c r="AC81" i="99"/>
  <c r="AC45" i="99"/>
  <c r="AC9" i="99"/>
  <c r="AT43" i="32"/>
  <c r="C93" i="53"/>
  <c r="C94" i="53"/>
  <c r="B95" i="53"/>
  <c r="V25" i="96" s="1"/>
  <c r="C95" i="53"/>
  <c r="C96" i="53"/>
  <c r="B97" i="53"/>
  <c r="V12" i="96" s="1"/>
  <c r="C97" i="53"/>
  <c r="B98" i="53"/>
  <c r="V13" i="96" s="1"/>
  <c r="C98" i="53"/>
  <c r="C99" i="53"/>
  <c r="B172" i="53"/>
  <c r="B181" i="53"/>
  <c r="B182" i="53"/>
  <c r="AC39" i="73" s="1"/>
  <c r="B184" i="53"/>
  <c r="B185" i="53"/>
  <c r="B186" i="53"/>
  <c r="B189" i="53"/>
  <c r="B190" i="53"/>
  <c r="B191" i="53"/>
  <c r="B192" i="53"/>
  <c r="B193" i="53"/>
  <c r="B194" i="53"/>
  <c r="B195" i="53"/>
  <c r="B196" i="53"/>
  <c r="B197" i="53"/>
  <c r="B198" i="53"/>
  <c r="B199" i="53"/>
  <c r="B200" i="53"/>
  <c r="B201" i="53"/>
  <c r="B202" i="53"/>
  <c r="B203" i="53"/>
  <c r="B204" i="53"/>
  <c r="B205" i="53"/>
  <c r="B206" i="53"/>
  <c r="B207" i="53"/>
  <c r="B208" i="53"/>
  <c r="B209" i="53"/>
  <c r="B210" i="53"/>
  <c r="B211" i="53"/>
  <c r="B212" i="53"/>
  <c r="B213" i="53"/>
  <c r="B214" i="53"/>
  <c r="B215" i="53"/>
  <c r="B216" i="53"/>
  <c r="B217" i="53"/>
  <c r="B218" i="53"/>
  <c r="B219" i="53"/>
  <c r="B221" i="53"/>
  <c r="B222" i="53"/>
  <c r="B223" i="53"/>
  <c r="B226" i="53"/>
  <c r="B228" i="53"/>
  <c r="B235" i="53"/>
  <c r="B8" i="21" s="1"/>
  <c r="B236" i="53"/>
  <c r="B37" i="21" s="1"/>
  <c r="B237" i="53"/>
  <c r="B238" i="53"/>
  <c r="B239" i="53"/>
  <c r="B241" i="53"/>
  <c r="B242" i="53"/>
  <c r="B245" i="53"/>
  <c r="B246" i="53"/>
  <c r="B247" i="53"/>
  <c r="K4" i="97" s="1"/>
  <c r="B248" i="53"/>
  <c r="B250" i="53"/>
  <c r="B251" i="53"/>
  <c r="B5" i="71" s="1"/>
  <c r="B252" i="53"/>
  <c r="B7" i="71" s="1"/>
  <c r="B253" i="53"/>
  <c r="E19" i="80" s="1"/>
  <c r="B254" i="53"/>
  <c r="B255" i="53"/>
  <c r="C11" i="73" s="1"/>
  <c r="B256" i="53"/>
  <c r="C15" i="73" s="1"/>
  <c r="B257" i="53"/>
  <c r="B258" i="53"/>
  <c r="B259" i="53"/>
  <c r="BC37" i="44" s="1"/>
  <c r="B261" i="53"/>
  <c r="B262" i="53"/>
  <c r="B263" i="53"/>
  <c r="B264" i="53"/>
  <c r="B265" i="53"/>
  <c r="B266" i="53"/>
  <c r="B267" i="53"/>
  <c r="B268" i="53"/>
  <c r="B269" i="53"/>
  <c r="B270" i="53"/>
  <c r="B271" i="53"/>
  <c r="B272" i="53"/>
  <c r="B273" i="53"/>
  <c r="B274" i="53"/>
  <c r="B275" i="53"/>
  <c r="B276" i="53"/>
  <c r="B277" i="53"/>
  <c r="S7" i="73" s="1"/>
  <c r="B278" i="53"/>
  <c r="B279" i="53"/>
  <c r="B280" i="53"/>
  <c r="P2" i="73" s="1"/>
  <c r="B281" i="53"/>
  <c r="B28" i="97" s="1"/>
  <c r="B282" i="53"/>
  <c r="B283" i="53"/>
  <c r="B284" i="53"/>
  <c r="B285" i="53"/>
  <c r="B286" i="53"/>
  <c r="B287" i="53"/>
  <c r="B288" i="53"/>
  <c r="B289" i="53"/>
  <c r="B290" i="53"/>
  <c r="B291" i="53"/>
  <c r="B292" i="53"/>
  <c r="B293" i="53"/>
  <c r="B294" i="53"/>
  <c r="B295" i="53"/>
  <c r="B296" i="53"/>
  <c r="V68" i="21" s="1"/>
  <c r="B297" i="53"/>
  <c r="B298" i="53"/>
  <c r="B299" i="53"/>
  <c r="B300" i="53"/>
  <c r="B301" i="53"/>
  <c r="B302" i="53"/>
  <c r="B24" i="100" s="1"/>
  <c r="B303" i="53"/>
  <c r="B18" i="100" s="1"/>
  <c r="B304" i="53"/>
  <c r="F5" i="80" s="1"/>
  <c r="B305" i="53"/>
  <c r="B306" i="53"/>
  <c r="B307" i="53"/>
  <c r="B308" i="53"/>
  <c r="E10" i="80" s="1"/>
  <c r="B309" i="53"/>
  <c r="B310" i="53"/>
  <c r="B14" i="97" s="1"/>
  <c r="B311" i="53"/>
  <c r="Q14" i="97" s="1"/>
  <c r="B312" i="53"/>
  <c r="K2" i="21" s="1"/>
  <c r="B313" i="53"/>
  <c r="B21" i="100" s="1"/>
  <c r="B314" i="53"/>
  <c r="B315" i="53"/>
  <c r="B316" i="53"/>
  <c r="B317" i="53"/>
  <c r="B318" i="53"/>
  <c r="V8" i="21" s="1"/>
  <c r="B319" i="53"/>
  <c r="B320" i="53"/>
  <c r="S26" i="73" s="1"/>
  <c r="B321" i="53"/>
  <c r="B322" i="53"/>
  <c r="AM50" i="73" s="1"/>
  <c r="B323" i="53"/>
  <c r="S28" i="73" s="1"/>
  <c r="B324" i="53"/>
  <c r="S30" i="73" s="1"/>
  <c r="B325" i="53"/>
  <c r="S32" i="73" s="1"/>
  <c r="B326" i="53"/>
  <c r="S34" i="73" s="1"/>
  <c r="B327" i="53"/>
  <c r="B328" i="53"/>
  <c r="AC22" i="73" s="1"/>
  <c r="B329" i="53"/>
  <c r="B330" i="53"/>
  <c r="B331" i="53"/>
  <c r="B332" i="53"/>
  <c r="AM52" i="73" s="1"/>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25" i="53"/>
  <c r="B426" i="53"/>
  <c r="B427" i="53"/>
  <c r="B428" i="53"/>
  <c r="B429" i="53"/>
  <c r="B430" i="53"/>
  <c r="B431" i="53"/>
  <c r="B432" i="53"/>
  <c r="B433" i="53"/>
  <c r="B434" i="53"/>
  <c r="B435"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B497" i="53"/>
  <c r="B498" i="53"/>
  <c r="B499" i="53"/>
  <c r="B500" i="53"/>
  <c r="B501" i="53"/>
  <c r="B502" i="53"/>
  <c r="B503" i="53"/>
  <c r="B504" i="53"/>
  <c r="B505" i="53"/>
  <c r="B506" i="53"/>
  <c r="B507" i="53"/>
  <c r="B508" i="53"/>
  <c r="B509" i="53"/>
  <c r="B510" i="53"/>
  <c r="B511" i="53"/>
  <c r="B512" i="53"/>
  <c r="B513" i="53"/>
  <c r="B514" i="53"/>
  <c r="B515" i="53"/>
  <c r="B516" i="53"/>
  <c r="B517" i="53"/>
  <c r="B518" i="53"/>
  <c r="B519" i="53"/>
  <c r="B520" i="53"/>
  <c r="B521" i="53"/>
  <c r="B522" i="53"/>
  <c r="B523" i="53"/>
  <c r="B524" i="53"/>
  <c r="B525" i="53"/>
  <c r="B526" i="53"/>
  <c r="B527" i="53"/>
  <c r="B528" i="53"/>
  <c r="B529" i="53"/>
  <c r="B530" i="53"/>
  <c r="B531" i="53"/>
  <c r="B532" i="53"/>
  <c r="B533" i="53"/>
  <c r="B534" i="53"/>
  <c r="B535" i="53"/>
  <c r="B536" i="53"/>
  <c r="B537" i="53"/>
  <c r="B538" i="53"/>
  <c r="B539" i="53"/>
  <c r="B540" i="53"/>
  <c r="B541" i="53"/>
  <c r="B543" i="53"/>
  <c r="B549" i="53"/>
  <c r="B563" i="53"/>
  <c r="B568" i="53"/>
  <c r="R34" i="80" s="1"/>
  <c r="B570" i="53"/>
  <c r="B571" i="53"/>
  <c r="B572" i="53"/>
  <c r="B573" i="53"/>
  <c r="B576" i="53"/>
  <c r="B31" i="100" s="1"/>
  <c r="B578" i="53"/>
  <c r="B580" i="53"/>
  <c r="B581" i="53"/>
  <c r="B582" i="53"/>
  <c r="B583" i="53"/>
  <c r="J21" i="97" s="1"/>
  <c r="B589" i="53"/>
  <c r="B595" i="53"/>
  <c r="B596" i="53"/>
  <c r="B597" i="53"/>
  <c r="B598" i="53"/>
  <c r="B599" i="53"/>
  <c r="B601" i="53"/>
  <c r="B602" i="53"/>
  <c r="B603" i="53"/>
  <c r="B604" i="53"/>
  <c r="B605" i="53"/>
  <c r="B606" i="53"/>
  <c r="B608" i="53"/>
  <c r="B609" i="53"/>
  <c r="B610" i="53"/>
  <c r="B611" i="53"/>
  <c r="B612" i="53"/>
  <c r="B613" i="53"/>
  <c r="B614" i="53"/>
  <c r="B616" i="53"/>
  <c r="B617" i="53"/>
  <c r="B618" i="53"/>
  <c r="B619" i="53"/>
  <c r="B620" i="53"/>
  <c r="B621" i="53"/>
  <c r="B622" i="53"/>
  <c r="B623" i="53"/>
  <c r="B624" i="53"/>
  <c r="B625" i="53"/>
  <c r="B626" i="53"/>
  <c r="B628" i="53"/>
  <c r="B629" i="53"/>
  <c r="D96" i="51" s="1"/>
  <c r="B637" i="53"/>
  <c r="B644" i="53"/>
  <c r="B656" i="53"/>
  <c r="B658" i="53"/>
  <c r="B659" i="53"/>
  <c r="B660" i="53"/>
  <c r="C29" i="96" s="1"/>
  <c r="B663" i="53"/>
  <c r="B667" i="53"/>
  <c r="B668" i="53"/>
  <c r="B670" i="53"/>
  <c r="B671" i="53"/>
  <c r="B672" i="53"/>
  <c r="B673" i="53"/>
  <c r="B14" i="100" s="1"/>
  <c r="B682" i="53"/>
  <c r="B5" i="100" s="1"/>
  <c r="B683" i="53"/>
  <c r="B7" i="100" s="1"/>
  <c r="B684" i="53"/>
  <c r="B9" i="100" s="1"/>
  <c r="B685" i="53"/>
  <c r="B10" i="100" s="1"/>
  <c r="B686" i="53"/>
  <c r="B11" i="100" s="1"/>
  <c r="B687" i="53"/>
  <c r="B13" i="100" s="1"/>
  <c r="B688" i="53"/>
  <c r="B689" i="53"/>
  <c r="B22" i="100" s="1"/>
  <c r="B690" i="53"/>
  <c r="B691" i="53"/>
  <c r="B25" i="100" s="1"/>
  <c r="B692" i="53"/>
  <c r="B27" i="100" s="1"/>
  <c r="B693" i="53"/>
  <c r="B694" i="53"/>
  <c r="AL22" i="73" s="1"/>
  <c r="B695" i="53"/>
  <c r="AC37" i="73" s="1"/>
  <c r="B696" i="53"/>
  <c r="B26" i="100" s="1"/>
  <c r="B725" i="53"/>
  <c r="C14" i="96" s="1"/>
  <c r="AT11" i="32"/>
  <c r="AU15" i="32"/>
  <c r="AV15" i="32"/>
  <c r="AW15" i="32" s="1"/>
  <c r="AU16" i="32"/>
  <c r="AW24" i="32"/>
  <c r="M33" i="106"/>
  <c r="N33" i="106" s="1"/>
  <c r="X42" i="106"/>
  <c r="Y42" i="106"/>
  <c r="X43" i="106"/>
  <c r="Y43" i="106"/>
  <c r="S43" i="106"/>
  <c r="W42" i="106"/>
  <c r="AF4" i="99"/>
  <c r="P80" i="109"/>
  <c r="P81" i="109"/>
  <c r="Q82" i="109"/>
  <c r="Q81" i="109"/>
  <c r="Q80" i="109"/>
  <c r="P82" i="109"/>
  <c r="O82" i="109"/>
  <c r="O81" i="109"/>
  <c r="O80" i="109"/>
  <c r="AD28" i="109"/>
  <c r="AG28" i="109"/>
  <c r="AD27" i="109"/>
  <c r="AG27" i="109"/>
  <c r="AD26" i="109"/>
  <c r="AG26" i="109"/>
  <c r="K28" i="109"/>
  <c r="K27" i="109"/>
  <c r="K26" i="109"/>
  <c r="H26" i="109"/>
  <c r="G26" i="109"/>
  <c r="J26" i="109"/>
  <c r="AB18" i="109"/>
  <c r="V81" i="109" s="1"/>
  <c r="T19" i="109"/>
  <c r="M2" i="107"/>
  <c r="AD17" i="107" s="1"/>
  <c r="M16" i="100"/>
  <c r="X21" i="107"/>
  <c r="W21" i="107"/>
  <c r="S21" i="107"/>
  <c r="O21" i="107"/>
  <c r="X18" i="107"/>
  <c r="W18" i="107"/>
  <c r="X17" i="107"/>
  <c r="W17" i="107"/>
  <c r="S17" i="107"/>
  <c r="O17" i="107"/>
  <c r="X16" i="107"/>
  <c r="W16" i="107"/>
  <c r="V21" i="107"/>
  <c r="V20" i="107"/>
  <c r="V19" i="107"/>
  <c r="V18" i="107"/>
  <c r="V17" i="107"/>
  <c r="V16" i="107"/>
  <c r="Q7" i="106"/>
  <c r="P7" i="106"/>
  <c r="S7" i="106"/>
  <c r="Q6" i="106"/>
  <c r="Q5" i="106"/>
  <c r="Q4" i="106"/>
  <c r="Q3" i="106"/>
  <c r="Q2" i="106"/>
  <c r="P6" i="106"/>
  <c r="S6" i="106"/>
  <c r="P5" i="106"/>
  <c r="S5" i="106"/>
  <c r="P4" i="106"/>
  <c r="S4" i="106"/>
  <c r="P3" i="106"/>
  <c r="S3" i="106"/>
  <c r="P2" i="106"/>
  <c r="S2" i="106"/>
  <c r="S18" i="107"/>
  <c r="O18" i="107"/>
  <c r="W43" i="106"/>
  <c r="E29" i="80"/>
  <c r="AU10" i="71"/>
  <c r="AU9" i="71"/>
  <c r="Y47" i="106"/>
  <c r="X47" i="106"/>
  <c r="T47" i="106"/>
  <c r="W47" i="106"/>
  <c r="Y46" i="106"/>
  <c r="X46" i="106"/>
  <c r="W46" i="106"/>
  <c r="Y45" i="106"/>
  <c r="X45" i="106"/>
  <c r="S45" i="106"/>
  <c r="W45" i="106"/>
  <c r="Y44" i="106"/>
  <c r="X44" i="106"/>
  <c r="W44" i="106"/>
  <c r="AB53" i="106"/>
  <c r="AB51" i="106"/>
  <c r="AB59" i="106"/>
  <c r="AB49" i="106"/>
  <c r="AB54" i="106"/>
  <c r="T45" i="106"/>
  <c r="N45" i="106"/>
  <c r="AC201" i="99"/>
  <c r="AC165" i="99"/>
  <c r="AC129" i="99"/>
  <c r="AC93" i="99"/>
  <c r="AC57" i="99"/>
  <c r="AC21" i="99"/>
  <c r="B697" i="53"/>
  <c r="C17" i="96"/>
  <c r="V2" i="97"/>
  <c r="AC206" i="99"/>
  <c r="AC170" i="99"/>
  <c r="AC134" i="99"/>
  <c r="AC98" i="99"/>
  <c r="AC62" i="99"/>
  <c r="AC26" i="99"/>
  <c r="AC198" i="99"/>
  <c r="AJ198" i="99"/>
  <c r="AC162" i="99"/>
  <c r="AJ162" i="99"/>
  <c r="AC126" i="99"/>
  <c r="AJ126" i="99"/>
  <c r="AC90" i="99"/>
  <c r="AJ90" i="99"/>
  <c r="AC54" i="99"/>
  <c r="AJ54" i="99"/>
  <c r="AC18" i="99"/>
  <c r="AJ18" i="99"/>
  <c r="AJ199" i="99"/>
  <c r="AJ163" i="99"/>
  <c r="AJ127" i="99"/>
  <c r="AK91" i="99"/>
  <c r="AJ55" i="99"/>
  <c r="AJ19" i="99"/>
  <c r="AB199" i="99"/>
  <c r="AB163" i="99"/>
  <c r="AB127" i="99"/>
  <c r="AB91" i="99"/>
  <c r="AB55" i="99"/>
  <c r="AB19" i="99"/>
  <c r="AC197" i="99"/>
  <c r="AC161" i="99"/>
  <c r="AC125" i="99"/>
  <c r="AC89" i="99"/>
  <c r="AC53" i="99"/>
  <c r="AC17" i="99"/>
  <c r="AC207" i="99"/>
  <c r="AC171" i="99"/>
  <c r="AC135" i="99"/>
  <c r="AC99" i="99"/>
  <c r="AC63" i="99"/>
  <c r="AC27" i="99"/>
  <c r="U41" i="32"/>
  <c r="B16" i="100"/>
  <c r="U5" i="71"/>
  <c r="AO5" i="71" s="1"/>
  <c r="S37" i="73"/>
  <c r="C35" i="96"/>
  <c r="P21" i="105"/>
  <c r="K18" i="73"/>
  <c r="R17" i="96"/>
  <c r="P2" i="105"/>
  <c r="AC42" i="73"/>
  <c r="AC44" i="73"/>
  <c r="AE9" i="96"/>
  <c r="H9" i="71"/>
  <c r="W153" i="99"/>
  <c r="W189" i="99"/>
  <c r="AB7" i="71"/>
  <c r="B10" i="71"/>
  <c r="D5" i="99"/>
  <c r="Q7" i="99" s="1"/>
  <c r="D8" i="99"/>
  <c r="D7" i="99"/>
  <c r="D6" i="99"/>
  <c r="AB6" i="71"/>
  <c r="U8" i="71"/>
  <c r="U7" i="71"/>
  <c r="C18" i="73"/>
  <c r="AS24" i="32"/>
  <c r="AV21" i="99"/>
  <c r="U6" i="71"/>
  <c r="H7" i="71"/>
  <c r="H6" i="71"/>
  <c r="H5" i="71"/>
  <c r="C19" i="73"/>
  <c r="C17" i="73"/>
  <c r="C18" i="96"/>
  <c r="C16" i="96"/>
  <c r="V34" i="80"/>
  <c r="E25" i="80"/>
  <c r="E23" i="80"/>
  <c r="AV17" i="32"/>
  <c r="O55" i="73"/>
  <c r="K55" i="73"/>
  <c r="G55" i="73"/>
  <c r="W14" i="99"/>
  <c r="W17" i="99"/>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C4" i="51"/>
  <c r="C3" i="51"/>
  <c r="C34" i="51"/>
  <c r="C33" i="51"/>
  <c r="AC59" i="99"/>
  <c r="AC95" i="99"/>
  <c r="AC204" i="99"/>
  <c r="AC168" i="99"/>
  <c r="AC132" i="99"/>
  <c r="AC96" i="99"/>
  <c r="AC60" i="99"/>
  <c r="W204" i="99"/>
  <c r="W168" i="99"/>
  <c r="W132" i="99"/>
  <c r="W96" i="99"/>
  <c r="W60" i="99"/>
  <c r="W210" i="99"/>
  <c r="W174" i="99"/>
  <c r="W138" i="99"/>
  <c r="W102" i="99"/>
  <c r="W66" i="99"/>
  <c r="EF65" i="50"/>
  <c r="AU30" i="32"/>
  <c r="AC16" i="99"/>
  <c r="AC24" i="99"/>
  <c r="W24" i="99"/>
  <c r="BY194" i="99"/>
  <c r="BY121" i="99"/>
  <c r="AC22" i="99"/>
  <c r="W19" i="99"/>
  <c r="W9" i="99"/>
  <c r="W10" i="99"/>
  <c r="AC10" i="99"/>
  <c r="W11" i="99"/>
  <c r="W12" i="99"/>
  <c r="AV12" i="99"/>
  <c r="BA12" i="99"/>
  <c r="BY12" i="99"/>
  <c r="AV13" i="99"/>
  <c r="BA13" i="99"/>
  <c r="AC14" i="99"/>
  <c r="AJ14" i="99"/>
  <c r="AV14" i="99"/>
  <c r="BY14" i="99"/>
  <c r="W15" i="99"/>
  <c r="AV15" i="99"/>
  <c r="W16" i="99"/>
  <c r="S18" i="99"/>
  <c r="W18" i="99"/>
  <c r="S19" i="99"/>
  <c r="AG19" i="99"/>
  <c r="S20" i="99"/>
  <c r="S21" i="99"/>
  <c r="S22" i="99"/>
  <c r="W22" i="99"/>
  <c r="S23" i="99"/>
  <c r="AB23" i="99"/>
  <c r="AL23" i="99"/>
  <c r="S24" i="99"/>
  <c r="S25" i="99"/>
  <c r="W25" i="99"/>
  <c r="S26" i="99"/>
  <c r="W26" i="99"/>
  <c r="S27" i="99"/>
  <c r="W27" i="99"/>
  <c r="W28" i="99"/>
  <c r="AC28" i="99"/>
  <c r="W29" i="99"/>
  <c r="W30" i="99"/>
  <c r="AC30" i="99"/>
  <c r="D37" i="99"/>
  <c r="G40" i="99"/>
  <c r="H40" i="99"/>
  <c r="I40" i="99"/>
  <c r="J40" i="99"/>
  <c r="K40" i="99"/>
  <c r="L40" i="99"/>
  <c r="W45" i="99"/>
  <c r="W46" i="99"/>
  <c r="AC46" i="99"/>
  <c r="W47" i="99"/>
  <c r="W48" i="99"/>
  <c r="AV48" i="99"/>
  <c r="BA48" i="99"/>
  <c r="BY48" i="99"/>
  <c r="AC49" i="99"/>
  <c r="AJ49" i="99"/>
  <c r="AV49" i="99"/>
  <c r="BA49" i="99"/>
  <c r="W50" i="99"/>
  <c r="AC50" i="99"/>
  <c r="AJ50" i="99"/>
  <c r="AV50" i="99"/>
  <c r="BY50" i="99"/>
  <c r="W51" i="99"/>
  <c r="AV51" i="99"/>
  <c r="W52" i="99"/>
  <c r="AC52" i="99"/>
  <c r="W53" i="99"/>
  <c r="S54" i="99"/>
  <c r="W54" i="99"/>
  <c r="S55" i="99"/>
  <c r="W55" i="99"/>
  <c r="AG55" i="99"/>
  <c r="S56" i="99"/>
  <c r="S57" i="99"/>
  <c r="S58" i="99"/>
  <c r="W58" i="99"/>
  <c r="AC58" i="99"/>
  <c r="S59" i="99"/>
  <c r="AL59" i="99"/>
  <c r="S60" i="99"/>
  <c r="S61" i="99"/>
  <c r="W61" i="99"/>
  <c r="S62" i="99"/>
  <c r="W62" i="99"/>
  <c r="S63" i="99"/>
  <c r="W63" i="99"/>
  <c r="W64" i="99"/>
  <c r="AC64" i="99"/>
  <c r="W65" i="99"/>
  <c r="AC66" i="99"/>
  <c r="D73" i="99"/>
  <c r="G76" i="99"/>
  <c r="H76" i="99"/>
  <c r="I76" i="99"/>
  <c r="J76" i="99"/>
  <c r="K76" i="99"/>
  <c r="L76" i="99"/>
  <c r="W81" i="99"/>
  <c r="W82" i="99"/>
  <c r="AC82" i="99"/>
  <c r="W83" i="99"/>
  <c r="W84" i="99"/>
  <c r="AV84" i="99"/>
  <c r="BA84" i="99"/>
  <c r="BY84" i="99"/>
  <c r="AC85" i="99"/>
  <c r="AJ85" i="99"/>
  <c r="AV85" i="99"/>
  <c r="BA85" i="99"/>
  <c r="BY85" i="99"/>
  <c r="W86" i="99"/>
  <c r="AC86" i="99"/>
  <c r="AJ86" i="99"/>
  <c r="AV86" i="99"/>
  <c r="BY86" i="99"/>
  <c r="W87" i="99"/>
  <c r="AV87" i="99"/>
  <c r="W88" i="99"/>
  <c r="AC88" i="99"/>
  <c r="W89" i="99"/>
  <c r="S90" i="99"/>
  <c r="W90" i="99"/>
  <c r="S91" i="99"/>
  <c r="W91" i="99"/>
  <c r="AG91" i="99"/>
  <c r="S92" i="99"/>
  <c r="S93" i="99"/>
  <c r="S94" i="99"/>
  <c r="W94" i="99"/>
  <c r="AC94" i="99"/>
  <c r="S95" i="99"/>
  <c r="AL95" i="99"/>
  <c r="S96" i="99"/>
  <c r="S97" i="99"/>
  <c r="W97" i="99"/>
  <c r="S98" i="99"/>
  <c r="W98" i="99"/>
  <c r="S99" i="99"/>
  <c r="W99" i="99"/>
  <c r="W100" i="99"/>
  <c r="AC100" i="99"/>
  <c r="W101" i="99"/>
  <c r="AC102" i="99"/>
  <c r="D109" i="99"/>
  <c r="G112" i="99"/>
  <c r="H112" i="99"/>
  <c r="I112" i="99"/>
  <c r="J112" i="99"/>
  <c r="K112" i="99"/>
  <c r="L112" i="99"/>
  <c r="W117" i="99"/>
  <c r="W118" i="99"/>
  <c r="AC118" i="99"/>
  <c r="W119" i="99"/>
  <c r="W120" i="99"/>
  <c r="AV120" i="99"/>
  <c r="BA120" i="99"/>
  <c r="BY120" i="99"/>
  <c r="AC121" i="99"/>
  <c r="AJ121" i="99"/>
  <c r="AV121" i="99"/>
  <c r="BA121" i="99"/>
  <c r="W122" i="99"/>
  <c r="AC122" i="99"/>
  <c r="AJ122" i="99"/>
  <c r="AV122" i="99"/>
  <c r="BY122" i="99"/>
  <c r="W123" i="99"/>
  <c r="AV123" i="99"/>
  <c r="W124" i="99"/>
  <c r="AC124" i="99"/>
  <c r="W125" i="99"/>
  <c r="S126" i="99"/>
  <c r="W126" i="99"/>
  <c r="S127" i="99"/>
  <c r="W127" i="99"/>
  <c r="AG127" i="99"/>
  <c r="S128" i="99"/>
  <c r="S129" i="99"/>
  <c r="S130" i="99"/>
  <c r="W130" i="99"/>
  <c r="AC130" i="99"/>
  <c r="S131" i="99"/>
  <c r="AB131" i="99"/>
  <c r="AL131" i="99"/>
  <c r="S132" i="99"/>
  <c r="S133" i="99"/>
  <c r="W133" i="99"/>
  <c r="S134" i="99"/>
  <c r="W134" i="99"/>
  <c r="S135" i="99"/>
  <c r="W135" i="99"/>
  <c r="W136" i="99"/>
  <c r="AC136" i="99"/>
  <c r="W137" i="99"/>
  <c r="AC138" i="99"/>
  <c r="D145" i="99"/>
  <c r="G148" i="99"/>
  <c r="H148" i="99"/>
  <c r="I148" i="99"/>
  <c r="J148" i="99"/>
  <c r="K148" i="99"/>
  <c r="L148" i="99"/>
  <c r="W154" i="99"/>
  <c r="AC154" i="99"/>
  <c r="W155" i="99"/>
  <c r="W156" i="99"/>
  <c r="AV156" i="99"/>
  <c r="BA156" i="99"/>
  <c r="BY156" i="99"/>
  <c r="AC157" i="99"/>
  <c r="AJ157" i="99"/>
  <c r="AV157" i="99"/>
  <c r="BA157" i="99"/>
  <c r="W158" i="99"/>
  <c r="AC158" i="99"/>
  <c r="AJ158" i="99"/>
  <c r="AV158" i="99"/>
  <c r="BY158" i="99"/>
  <c r="W159" i="99"/>
  <c r="AV159" i="99"/>
  <c r="W160" i="99"/>
  <c r="AC160" i="99"/>
  <c r="W161" i="99"/>
  <c r="S162" i="99"/>
  <c r="W162" i="99"/>
  <c r="S163" i="99"/>
  <c r="W163" i="99"/>
  <c r="AG163" i="99"/>
  <c r="S164" i="99"/>
  <c r="S165" i="99"/>
  <c r="S166" i="99"/>
  <c r="W166" i="99"/>
  <c r="AC166" i="99"/>
  <c r="S167" i="99"/>
  <c r="AB167" i="99"/>
  <c r="AL167" i="99"/>
  <c r="S168" i="99"/>
  <c r="S169" i="99"/>
  <c r="W169" i="99"/>
  <c r="S170" i="99"/>
  <c r="W170" i="99"/>
  <c r="S171" i="99"/>
  <c r="W171" i="99"/>
  <c r="W172" i="99"/>
  <c r="AC172" i="99"/>
  <c r="W173" i="99"/>
  <c r="AC174" i="99"/>
  <c r="D181" i="99"/>
  <c r="G184" i="99"/>
  <c r="H184" i="99"/>
  <c r="I184" i="99"/>
  <c r="J184" i="99"/>
  <c r="K184" i="99"/>
  <c r="L184" i="99"/>
  <c r="W190" i="99"/>
  <c r="AC190" i="99"/>
  <c r="W191" i="99"/>
  <c r="W192" i="99"/>
  <c r="AV192" i="99"/>
  <c r="BA192" i="99"/>
  <c r="BY192" i="99"/>
  <c r="AC193" i="99"/>
  <c r="AJ193" i="99"/>
  <c r="AV193" i="99"/>
  <c r="BA193" i="99"/>
  <c r="W194" i="99"/>
  <c r="AC194" i="99"/>
  <c r="AJ194" i="99"/>
  <c r="AV194" i="99"/>
  <c r="W195" i="99"/>
  <c r="AV195" i="99"/>
  <c r="W196" i="99"/>
  <c r="AC196" i="99"/>
  <c r="W197" i="99"/>
  <c r="S198" i="99"/>
  <c r="W198" i="99"/>
  <c r="S199" i="99"/>
  <c r="W199" i="99"/>
  <c r="AG199" i="99"/>
  <c r="S200" i="99"/>
  <c r="S201" i="99"/>
  <c r="S202" i="99"/>
  <c r="W202" i="99"/>
  <c r="AC202" i="99"/>
  <c r="S203" i="99"/>
  <c r="AB203" i="99"/>
  <c r="AL203" i="99"/>
  <c r="S204" i="99"/>
  <c r="S205" i="99"/>
  <c r="W205" i="99"/>
  <c r="S206" i="99"/>
  <c r="W206" i="99"/>
  <c r="S207" i="99"/>
  <c r="W207" i="99"/>
  <c r="W208" i="99"/>
  <c r="AC208" i="99"/>
  <c r="W209" i="99"/>
  <c r="AC210" i="99"/>
  <c r="D217" i="99"/>
  <c r="G220" i="99"/>
  <c r="H220" i="99"/>
  <c r="I220" i="99"/>
  <c r="J220" i="99"/>
  <c r="K220" i="99"/>
  <c r="L220" i="99"/>
  <c r="R23" i="73"/>
  <c r="AK25" i="73"/>
  <c r="AK27" i="73"/>
  <c r="AD42" i="73"/>
  <c r="AE42" i="73"/>
  <c r="AF42" i="73"/>
  <c r="AC43" i="73"/>
  <c r="AC45" i="73"/>
  <c r="AD43" i="73"/>
  <c r="AE43" i="73"/>
  <c r="AF43" i="73"/>
  <c r="AD44" i="73"/>
  <c r="AE44" i="73"/>
  <c r="AF44" i="73"/>
  <c r="J14" i="50"/>
  <c r="J15" i="50"/>
  <c r="T47" i="32"/>
  <c r="BD3" i="32"/>
  <c r="BI3" i="32"/>
  <c r="AJ36" i="32" a="1"/>
  <c r="AJ36" i="32"/>
  <c r="BY193" i="99"/>
  <c r="BY157" i="99"/>
  <c r="BY13" i="99"/>
  <c r="BY49" i="99"/>
  <c r="R35" i="96"/>
  <c r="AM5" i="71"/>
  <c r="AP34" i="73"/>
  <c r="R32" i="96"/>
  <c r="AP32" i="73"/>
  <c r="AP26" i="73"/>
  <c r="AL26" i="73" s="1"/>
  <c r="AP24" i="73"/>
  <c r="AL24" i="73" s="1"/>
  <c r="AP30" i="73"/>
  <c r="AL30" i="73" s="1"/>
  <c r="AP28" i="73"/>
  <c r="AL28" i="73" s="1"/>
  <c r="AM39" i="73"/>
  <c r="AM37" i="73"/>
  <c r="O48" i="73"/>
  <c r="K48" i="73"/>
  <c r="AM34" i="73"/>
  <c r="AM32" i="73"/>
  <c r="AM30" i="73"/>
  <c r="AM28" i="73"/>
  <c r="AM26" i="73"/>
  <c r="AM24" i="73"/>
  <c r="G48" i="73"/>
  <c r="P30" i="32"/>
  <c r="B109" i="51"/>
  <c r="B23" i="100"/>
  <c r="B99" i="51"/>
  <c r="S24" i="73"/>
  <c r="BC38" i="44"/>
  <c r="AM51" i="73"/>
  <c r="B19" i="100"/>
  <c r="B100" i="51"/>
  <c r="AG22" i="73"/>
  <c r="B106" i="51"/>
  <c r="AA37" i="73"/>
  <c r="W35" i="80"/>
  <c r="U34" i="80"/>
  <c r="S13" i="32"/>
  <c r="AJ37" i="32"/>
  <c r="AJ38" i="32"/>
  <c r="AJ40" i="32"/>
  <c r="AJ39" i="32"/>
  <c r="B17" i="100"/>
  <c r="B101" i="51"/>
  <c r="R31" i="100"/>
  <c r="CR8" i="51"/>
  <c r="CS6" i="51"/>
  <c r="CQ6" i="51"/>
  <c r="CR10" i="51"/>
  <c r="CQ10" i="51"/>
  <c r="CR6" i="51"/>
  <c r="CS10" i="51"/>
  <c r="CT6" i="51"/>
  <c r="C106" i="51"/>
  <c r="E107" i="51"/>
  <c r="C103" i="51"/>
  <c r="C97" i="51"/>
  <c r="C113" i="51"/>
  <c r="C98" i="51"/>
  <c r="C118" i="51"/>
  <c r="F99" i="51"/>
  <c r="E99" i="51"/>
  <c r="C99" i="51"/>
  <c r="E108" i="51"/>
  <c r="F108" i="51"/>
  <c r="F109" i="51"/>
  <c r="E109" i="51"/>
  <c r="F101" i="51"/>
  <c r="E101" i="51"/>
  <c r="B27" i="32"/>
  <c r="B33" i="32"/>
  <c r="C27" i="96"/>
  <c r="E8" i="32"/>
  <c r="I24" i="73"/>
  <c r="B21" i="32"/>
  <c r="B12" i="32"/>
  <c r="B62" i="44"/>
  <c r="E24" i="73"/>
  <c r="F5" i="32"/>
  <c r="C24" i="96"/>
  <c r="FA4" i="50"/>
  <c r="F15" i="50"/>
  <c r="C21" i="96"/>
  <c r="H71" i="32"/>
  <c r="X5" i="50"/>
  <c r="X56" i="32" s="1"/>
  <c r="B24" i="32"/>
  <c r="F14" i="50"/>
  <c r="B5" i="32"/>
  <c r="B30" i="32"/>
  <c r="FA8" i="50"/>
  <c r="J5" i="32"/>
  <c r="C80" i="53"/>
  <c r="S7" i="32"/>
  <c r="M11" i="50"/>
  <c r="N11" i="50" s="1"/>
  <c r="N5" i="32"/>
  <c r="B28" i="32"/>
  <c r="A2" i="32"/>
  <c r="FA9" i="50"/>
  <c r="C30" i="96"/>
  <c r="B30" i="73"/>
  <c r="B35" i="73"/>
  <c r="DN2" i="50"/>
  <c r="C84" i="53"/>
  <c r="M24" i="73"/>
  <c r="R5" i="32"/>
  <c r="V5" i="32"/>
  <c r="F17" i="50"/>
  <c r="F16" i="50"/>
  <c r="E42" i="73"/>
  <c r="E44" i="73"/>
  <c r="X54" i="32" a="1"/>
  <c r="I42" i="73"/>
  <c r="I43" i="73"/>
  <c r="T54" i="32" a="1"/>
  <c r="M42" i="73"/>
  <c r="M43" i="73"/>
  <c r="G7" i="32"/>
  <c r="AE41" i="32"/>
  <c r="H67" i="32"/>
  <c r="AC3" i="52"/>
  <c r="L80" i="109"/>
  <c r="AH7" i="96"/>
  <c r="AE7" i="96"/>
  <c r="AF7" i="96"/>
  <c r="M5" i="99"/>
  <c r="L82" i="109"/>
  <c r="H82" i="109"/>
  <c r="L81" i="109"/>
  <c r="H81" i="109"/>
  <c r="H80" i="109"/>
  <c r="G80" i="109"/>
  <c r="G82" i="109"/>
  <c r="G81" i="109"/>
  <c r="E43" i="73"/>
  <c r="O43" i="73"/>
  <c r="AC26" i="73"/>
  <c r="AD45" i="73"/>
  <c r="O83" i="109"/>
  <c r="P77" i="109"/>
  <c r="S16" i="107"/>
  <c r="O16" i="107"/>
  <c r="AF45" i="73"/>
  <c r="P27" i="109"/>
  <c r="AE45" i="73"/>
  <c r="AK29" i="73"/>
  <c r="AC28" i="73"/>
  <c r="I26" i="109"/>
  <c r="P26" i="109"/>
  <c r="M44" i="73"/>
  <c r="I44" i="73"/>
  <c r="AG29" i="109"/>
  <c r="K29" i="109"/>
  <c r="AE29" i="109"/>
  <c r="N18" i="107"/>
  <c r="T18" i="107"/>
  <c r="N17" i="107"/>
  <c r="T17" i="107"/>
  <c r="N21" i="107"/>
  <c r="T21" i="107"/>
  <c r="S47" i="106"/>
  <c r="Q47" i="106"/>
  <c r="T42" i="106"/>
  <c r="T46" i="106"/>
  <c r="S46" i="106"/>
  <c r="P46" i="106"/>
  <c r="O45" i="106"/>
  <c r="U45" i="106"/>
  <c r="V45" i="106"/>
  <c r="Q45" i="106"/>
  <c r="P45" i="106"/>
  <c r="W40" i="106"/>
  <c r="Z36" i="106"/>
  <c r="AB58" i="106"/>
  <c r="T44" i="106"/>
  <c r="S44" i="106"/>
  <c r="N44" i="106"/>
  <c r="O44" i="106"/>
  <c r="U44" i="106"/>
  <c r="T43" i="106"/>
  <c r="Q43" i="106"/>
  <c r="V14" i="107"/>
  <c r="V13" i="107"/>
  <c r="W13" i="107"/>
  <c r="S8" i="106"/>
  <c r="O5" i="99"/>
  <c r="T8" i="106"/>
  <c r="U8" i="106" s="1"/>
  <c r="P43" i="106"/>
  <c r="N43" i="106"/>
  <c r="S42" i="106"/>
  <c r="C111" i="51"/>
  <c r="C96" i="51"/>
  <c r="M80" i="109"/>
  <c r="AI7" i="96"/>
  <c r="AJ8" i="96"/>
  <c r="AJ10" i="96"/>
  <c r="M81" i="109"/>
  <c r="AK33" i="73"/>
  <c r="AC32" i="73"/>
  <c r="AL32" i="73"/>
  <c r="O26" i="109"/>
  <c r="M82" i="109"/>
  <c r="O27" i="109"/>
  <c r="AK35" i="73"/>
  <c r="AC34" i="73"/>
  <c r="AL34" i="73"/>
  <c r="N27" i="109"/>
  <c r="AK31" i="73"/>
  <c r="AC30" i="73"/>
  <c r="N16" i="107"/>
  <c r="T16" i="107"/>
  <c r="N26" i="109"/>
  <c r="M26" i="109"/>
  <c r="O44" i="73"/>
  <c r="AC24" i="73"/>
  <c r="P28" i="109"/>
  <c r="O28" i="109"/>
  <c r="AH29" i="109"/>
  <c r="N28" i="109"/>
  <c r="O43" i="106"/>
  <c r="P42" i="106"/>
  <c r="Q42" i="106"/>
  <c r="O42" i="106"/>
  <c r="P47" i="106"/>
  <c r="O47" i="106"/>
  <c r="N47" i="106"/>
  <c r="N42" i="106"/>
  <c r="U18" i="107"/>
  <c r="W39" i="106"/>
  <c r="X39" i="106"/>
  <c r="Q46" i="106"/>
  <c r="O46" i="106"/>
  <c r="N46" i="106"/>
  <c r="Q44" i="106"/>
  <c r="V44" i="106"/>
  <c r="P44" i="106"/>
  <c r="R26" i="109"/>
  <c r="AJ7" i="96"/>
  <c r="AJ11" i="96"/>
  <c r="M35" i="96"/>
  <c r="S26" i="109"/>
  <c r="U43" i="106"/>
  <c r="V43" i="106"/>
  <c r="N81" i="109"/>
  <c r="N80" i="109"/>
  <c r="N82" i="109"/>
  <c r="U47" i="106"/>
  <c r="V47" i="106"/>
  <c r="U42" i="106"/>
  <c r="V42" i="106"/>
  <c r="AB42" i="106"/>
  <c r="U21" i="107"/>
  <c r="U19" i="107"/>
  <c r="U17" i="107"/>
  <c r="U16" i="107"/>
  <c r="AC16" i="107"/>
  <c r="U46" i="106"/>
  <c r="V46" i="106"/>
  <c r="U20" i="107"/>
  <c r="S27" i="109"/>
  <c r="R29" i="109"/>
  <c r="J29" i="109"/>
  <c r="S28" i="109"/>
  <c r="S29" i="109"/>
  <c r="U48" i="106"/>
  <c r="AL41" i="106"/>
  <c r="W37" i="73"/>
  <c r="AP37" i="73" s="1"/>
  <c r="X54" i="92" a="1"/>
  <c r="X54" i="93" a="1"/>
  <c r="X54" i="94" a="1"/>
  <c r="X54" i="95" a="1"/>
  <c r="F107" i="51" l="1"/>
  <c r="B107" i="51"/>
  <c r="B98" i="51"/>
  <c r="E98" i="51"/>
  <c r="F98" i="51"/>
  <c r="E105" i="51"/>
  <c r="F105" i="51"/>
  <c r="C101" i="51"/>
  <c r="FA2" i="50"/>
  <c r="C110" i="51"/>
  <c r="H23" i="32"/>
  <c r="B6" i="71"/>
  <c r="X4" i="50"/>
  <c r="X55" i="32" s="1"/>
  <c r="B94" i="53"/>
  <c r="V24" i="96" s="1"/>
  <c r="B105" i="51"/>
  <c r="B103" i="51"/>
  <c r="DH6" i="51"/>
  <c r="E103" i="51"/>
  <c r="H70" i="32"/>
  <c r="B25" i="32"/>
  <c r="CV6" i="51"/>
  <c r="EY5" i="50"/>
  <c r="B39" i="73"/>
  <c r="CI5" i="51"/>
  <c r="C115" i="51"/>
  <c r="AC7" i="52"/>
  <c r="C28" i="96"/>
  <c r="I26" i="96" s="1"/>
  <c r="A76" i="51"/>
  <c r="CN6" i="51"/>
  <c r="C9" i="73"/>
  <c r="B76" i="51"/>
  <c r="CJ9" i="51"/>
  <c r="CJ10" i="51"/>
  <c r="B63" i="53"/>
  <c r="A43" i="63" s="1"/>
  <c r="AO31" i="32"/>
  <c r="W28" i="109"/>
  <c r="AD20" i="107"/>
  <c r="Z26" i="109"/>
  <c r="Z27" i="109"/>
  <c r="D69" i="53"/>
  <c r="B111" i="51"/>
  <c r="J5" i="93"/>
  <c r="B5" i="92"/>
  <c r="V5" i="93"/>
  <c r="EY4" i="50"/>
  <c r="C75" i="51"/>
  <c r="N5" i="92"/>
  <c r="C70" i="53"/>
  <c r="B5" i="94"/>
  <c r="R5" i="95"/>
  <c r="C69" i="53"/>
  <c r="B188" i="53"/>
  <c r="B244" i="53"/>
  <c r="B25" i="53"/>
  <c r="U82" i="73" s="1"/>
  <c r="B187" i="53"/>
  <c r="B591" i="53"/>
  <c r="B45" i="53"/>
  <c r="A25" i="63" s="1"/>
  <c r="B645" i="53"/>
  <c r="B14" i="53"/>
  <c r="A8" i="63" s="1"/>
  <c r="B249" i="53"/>
  <c r="AL1" i="99" s="1"/>
  <c r="B592" i="53"/>
  <c r="B167" i="53"/>
  <c r="B585" i="53"/>
  <c r="E3" i="52" s="1"/>
  <c r="B642" i="53"/>
  <c r="V7" i="96" s="1"/>
  <c r="B594" i="53"/>
  <c r="B647" i="53"/>
  <c r="B225" i="53"/>
  <c r="B587" i="53"/>
  <c r="F8" i="52" s="1"/>
  <c r="B666" i="53"/>
  <c r="CD13" i="61" s="1"/>
  <c r="D70" i="53"/>
  <c r="B675" i="53"/>
  <c r="CA35" i="59" s="1"/>
  <c r="A2" i="91"/>
  <c r="H66" i="94"/>
  <c r="B641" i="53"/>
  <c r="EN4" i="61" s="1"/>
  <c r="T55" i="94" s="1"/>
  <c r="C68" i="53"/>
  <c r="B230" i="53"/>
  <c r="BY6" i="57" s="1"/>
  <c r="B9" i="53"/>
  <c r="X3" i="59"/>
  <c r="X54" i="93" s="1"/>
  <c r="B50" i="53"/>
  <c r="C67" i="53"/>
  <c r="B231" i="53"/>
  <c r="U92" i="73"/>
  <c r="B556" i="53"/>
  <c r="C32" i="52" s="1"/>
  <c r="D32" i="52" s="1"/>
  <c r="B657" i="53"/>
  <c r="D66" i="53"/>
  <c r="CP10" i="51"/>
  <c r="B557" i="53"/>
  <c r="C51" i="52" s="1"/>
  <c r="D51" i="52" s="1"/>
  <c r="C66" i="53"/>
  <c r="B232" i="53"/>
  <c r="AD14" i="93"/>
  <c r="AD47" i="106"/>
  <c r="BY3" i="55"/>
  <c r="A126" i="51"/>
  <c r="AA45" i="106"/>
  <c r="CT10" i="51"/>
  <c r="X4" i="59"/>
  <c r="X55" i="93" s="1"/>
  <c r="AF25" i="91"/>
  <c r="AD46" i="106"/>
  <c r="AC18" i="107"/>
  <c r="CT8" i="51"/>
  <c r="DI9" i="51"/>
  <c r="AD14" i="91"/>
  <c r="B593" i="53"/>
  <c r="B47" i="53"/>
  <c r="U108" i="73" s="1"/>
  <c r="CK10" i="51"/>
  <c r="A111" i="51"/>
  <c r="CD17" i="50"/>
  <c r="CD16" i="50"/>
  <c r="AF30" i="32"/>
  <c r="CL6" i="51"/>
  <c r="CY10" i="51"/>
  <c r="CJ7" i="51"/>
  <c r="DH10" i="51"/>
  <c r="AF30" i="91"/>
  <c r="CD16" i="55"/>
  <c r="AB40" i="50"/>
  <c r="F97" i="51"/>
  <c r="CZ6" i="51"/>
  <c r="CO10" i="51"/>
  <c r="DI6" i="51"/>
  <c r="A106" i="51"/>
  <c r="E60" i="52"/>
  <c r="E13" i="80"/>
  <c r="B97" i="51"/>
  <c r="CV8" i="51"/>
  <c r="CU6" i="51"/>
  <c r="DI10" i="51"/>
  <c r="A104" i="51"/>
  <c r="B15" i="94"/>
  <c r="AB40" i="55"/>
  <c r="AB41" i="50"/>
  <c r="K54" i="32" s="1" a="1"/>
  <c r="K58" i="32" s="1"/>
  <c r="U103" i="73"/>
  <c r="DH8" i="51"/>
  <c r="DJ10" i="51"/>
  <c r="E111" i="51"/>
  <c r="CM10" i="51"/>
  <c r="CJ5" i="51"/>
  <c r="DJ8" i="51"/>
  <c r="C100" i="51"/>
  <c r="B15" i="32"/>
  <c r="CU10" i="51"/>
  <c r="F111" i="51"/>
  <c r="CN10" i="51"/>
  <c r="CP8" i="51"/>
  <c r="CO6" i="51"/>
  <c r="DJ6" i="51"/>
  <c r="C121" i="51"/>
  <c r="CJ6" i="51"/>
  <c r="CZ8" i="51"/>
  <c r="E104" i="51"/>
  <c r="FA6" i="50"/>
  <c r="B28" i="73"/>
  <c r="CY6" i="51"/>
  <c r="CV10" i="51"/>
  <c r="CL10" i="51"/>
  <c r="E17" i="80"/>
  <c r="CP6" i="51"/>
  <c r="CN8" i="51"/>
  <c r="CZ10" i="51"/>
  <c r="B57" i="53"/>
  <c r="CD17" i="57"/>
  <c r="CK6" i="51"/>
  <c r="FA7" i="50"/>
  <c r="F104" i="51"/>
  <c r="CL8" i="51"/>
  <c r="CM6" i="51"/>
  <c r="CJ8" i="51"/>
  <c r="B25" i="92"/>
  <c r="B12" i="100"/>
  <c r="AL19" i="32"/>
  <c r="AE42" i="106"/>
  <c r="B108" i="51"/>
  <c r="E106" i="51"/>
  <c r="V50" i="52"/>
  <c r="D13" i="71"/>
  <c r="F106" i="51"/>
  <c r="FA3" i="63"/>
  <c r="E32" i="52"/>
  <c r="E16" i="52"/>
  <c r="C13" i="73"/>
  <c r="B13" i="32"/>
  <c r="B13" i="92"/>
  <c r="B60" i="53"/>
  <c r="A21" i="63" s="1"/>
  <c r="C12" i="96"/>
  <c r="C102" i="51"/>
  <c r="A101" i="51"/>
  <c r="C116" i="51"/>
  <c r="AD14" i="92"/>
  <c r="B13" i="94"/>
  <c r="B68" i="53"/>
  <c r="A38" i="59" s="1"/>
  <c r="BZ34" i="57"/>
  <c r="Y26" i="109"/>
  <c r="B8" i="32"/>
  <c r="B75" i="51"/>
  <c r="AL19" i="92"/>
  <c r="V82" i="109"/>
  <c r="A75" i="51"/>
  <c r="DC8" i="51"/>
  <c r="Y28" i="109"/>
  <c r="EY2" i="50"/>
  <c r="CQ7" i="51"/>
  <c r="CS9" i="51"/>
  <c r="B11" i="94"/>
  <c r="F46" i="52"/>
  <c r="V27" i="109"/>
  <c r="DL6" i="51"/>
  <c r="B25" i="93"/>
  <c r="E46" i="52"/>
  <c r="W27" i="109"/>
  <c r="DE9" i="51"/>
  <c r="B27" i="93"/>
  <c r="V43" i="52"/>
  <c r="Z28" i="109"/>
  <c r="Z39" i="109" s="1"/>
  <c r="W82" i="109"/>
  <c r="V80" i="109"/>
  <c r="Y27" i="109"/>
  <c r="DK6" i="51"/>
  <c r="F41" i="52"/>
  <c r="A5" i="55"/>
  <c r="W81" i="109"/>
  <c r="W26" i="109"/>
  <c r="W80" i="109"/>
  <c r="AL19" i="91"/>
  <c r="E36" i="52"/>
  <c r="V26" i="109"/>
  <c r="E21" i="80"/>
  <c r="DK10" i="51"/>
  <c r="E28" i="52"/>
  <c r="A5" i="59"/>
  <c r="V28" i="109"/>
  <c r="V16" i="96"/>
  <c r="W16" i="96" s="1"/>
  <c r="DD10" i="51"/>
  <c r="E8" i="91"/>
  <c r="B25" i="91"/>
  <c r="FA2" i="59"/>
  <c r="E23" i="52"/>
  <c r="AD44" i="106"/>
  <c r="AC44" i="106"/>
  <c r="AD19" i="107"/>
  <c r="AC19" i="107"/>
  <c r="AC17" i="107"/>
  <c r="AD42" i="106"/>
  <c r="AA43" i="106"/>
  <c r="AC20" i="107"/>
  <c r="AC45" i="106"/>
  <c r="AC21" i="107"/>
  <c r="AC47" i="106"/>
  <c r="AD21" i="107"/>
  <c r="AC43" i="106"/>
  <c r="AA46" i="106"/>
  <c r="AD43" i="106"/>
  <c r="AE43" i="106"/>
  <c r="AD16" i="107"/>
  <c r="AC42" i="106"/>
  <c r="AE44" i="106"/>
  <c r="AD18" i="107"/>
  <c r="AA42" i="106"/>
  <c r="AM14" i="32"/>
  <c r="CS7" i="51"/>
  <c r="CT7" i="51"/>
  <c r="DE8" i="51"/>
  <c r="AP2" i="94"/>
  <c r="H71" i="95"/>
  <c r="CD13" i="55"/>
  <c r="BY5" i="57"/>
  <c r="BY5" i="59"/>
  <c r="X58" i="52"/>
  <c r="X22" i="52"/>
  <c r="CD11" i="57"/>
  <c r="B26" i="73"/>
  <c r="AC8" i="52"/>
  <c r="DK5" i="51"/>
  <c r="DD6" i="51"/>
  <c r="DK8" i="51"/>
  <c r="H23" i="91"/>
  <c r="B32" i="92"/>
  <c r="FA5" i="59"/>
  <c r="V58" i="52"/>
  <c r="E41" i="52"/>
  <c r="CD11" i="59"/>
  <c r="AR19" i="32"/>
  <c r="AT2" i="44"/>
  <c r="AF25" i="32"/>
  <c r="X3" i="50"/>
  <c r="X54" i="32" s="1"/>
  <c r="K61" i="32"/>
  <c r="CQ5" i="51"/>
  <c r="DF7" i="51"/>
  <c r="DF9" i="51"/>
  <c r="BW4" i="51"/>
  <c r="AF9" i="91"/>
  <c r="AB30" i="63"/>
  <c r="X53" i="52"/>
  <c r="X40" i="52"/>
  <c r="AP2" i="32"/>
  <c r="CT5" i="51"/>
  <c r="DD8" i="51"/>
  <c r="DL9" i="51"/>
  <c r="AJ2" i="73"/>
  <c r="BY5" i="50"/>
  <c r="B12" i="91"/>
  <c r="FA2" i="55"/>
  <c r="AB30" i="61"/>
  <c r="AB32" i="63"/>
  <c r="X3" i="57"/>
  <c r="X54" i="92" s="1"/>
  <c r="V53" i="52"/>
  <c r="E40" i="52"/>
  <c r="E6" i="52"/>
  <c r="B11" i="32"/>
  <c r="FA5" i="50"/>
  <c r="Q2" i="80"/>
  <c r="AD14" i="32"/>
  <c r="AF9" i="32"/>
  <c r="CT9" i="51"/>
  <c r="DL7" i="51"/>
  <c r="DL10" i="51"/>
  <c r="DC9" i="51"/>
  <c r="H67" i="94"/>
  <c r="X3" i="55"/>
  <c r="X54" i="91" s="1"/>
  <c r="AB32" i="61"/>
  <c r="FA5" i="63"/>
  <c r="X52" i="52"/>
  <c r="V39" i="52"/>
  <c r="X4" i="52"/>
  <c r="AO2" i="51"/>
  <c r="CA33" i="61"/>
  <c r="AC2" i="21"/>
  <c r="DD7" i="51"/>
  <c r="CR7" i="51"/>
  <c r="DF10" i="51"/>
  <c r="DC7" i="51"/>
  <c r="AM14" i="93"/>
  <c r="AB30" i="59"/>
  <c r="X66" i="52"/>
  <c r="X48" i="52"/>
  <c r="Q2" i="100"/>
  <c r="CS5" i="51"/>
  <c r="CR9" i="51"/>
  <c r="DD9" i="51"/>
  <c r="DE7" i="51"/>
  <c r="AP2" i="93"/>
  <c r="AF9" i="94"/>
  <c r="B25" i="94"/>
  <c r="AB32" i="59"/>
  <c r="FA2" i="63"/>
  <c r="P66" i="52"/>
  <c r="F48" i="52"/>
  <c r="V31" i="52"/>
  <c r="CD11" i="61"/>
  <c r="BY5" i="63"/>
  <c r="Q2" i="96"/>
  <c r="AL2" i="71"/>
  <c r="AB32" i="50"/>
  <c r="DC5" i="51"/>
  <c r="DC6" i="51"/>
  <c r="DK7" i="51"/>
  <c r="DK9" i="51"/>
  <c r="BY5" i="55"/>
  <c r="X62" i="52"/>
  <c r="X30" i="52"/>
  <c r="BY5" i="61"/>
  <c r="C22" i="96"/>
  <c r="B92" i="21"/>
  <c r="E15" i="80"/>
  <c r="AB30" i="50"/>
  <c r="DE5" i="51"/>
  <c r="DE6" i="51"/>
  <c r="B93" i="53"/>
  <c r="V23" i="96" s="1"/>
  <c r="CQ8" i="51"/>
  <c r="DC10" i="51"/>
  <c r="AF25" i="92"/>
  <c r="FA5" i="55"/>
  <c r="AB30" i="55"/>
  <c r="AB30" i="57"/>
  <c r="X61" i="52"/>
  <c r="BY33" i="59"/>
  <c r="B560" i="53"/>
  <c r="BY13" i="59" s="1"/>
  <c r="C10" i="96"/>
  <c r="CD11" i="50"/>
  <c r="DL8" i="51"/>
  <c r="DF6" i="51"/>
  <c r="DF8" i="51"/>
  <c r="CS8" i="51"/>
  <c r="DE10" i="51"/>
  <c r="CD11" i="55"/>
  <c r="AB32" i="55"/>
  <c r="FA5" i="61"/>
  <c r="CD13" i="57"/>
  <c r="X60" i="52"/>
  <c r="X44" i="52"/>
  <c r="X23" i="52"/>
  <c r="B28" i="94"/>
  <c r="BZ33" i="63"/>
  <c r="X5" i="63"/>
  <c r="X56" i="95" s="1"/>
  <c r="B11" i="91"/>
  <c r="F52" i="52"/>
  <c r="F30" i="52"/>
  <c r="F22" i="52"/>
  <c r="AD45" i="106"/>
  <c r="B24" i="91"/>
  <c r="R5" i="92"/>
  <c r="N5" i="93"/>
  <c r="N5" i="94"/>
  <c r="J5" i="95"/>
  <c r="AB32" i="57"/>
  <c r="CD16" i="59"/>
  <c r="E66" i="52"/>
  <c r="X59" i="52"/>
  <c r="C52" i="52"/>
  <c r="D52" i="52" s="1"/>
  <c r="E30" i="52"/>
  <c r="C22" i="52"/>
  <c r="D22" i="52" s="1"/>
  <c r="A43" i="50"/>
  <c r="AE47" i="106"/>
  <c r="AA44" i="106"/>
  <c r="V5" i="92"/>
  <c r="R5" i="93"/>
  <c r="R5" i="94"/>
  <c r="N5" i="95"/>
  <c r="C82" i="53"/>
  <c r="FA2" i="61"/>
  <c r="FA6" i="63"/>
  <c r="A2" i="92"/>
  <c r="D67" i="71" s="1"/>
  <c r="X5" i="57"/>
  <c r="X56" i="92" s="1"/>
  <c r="CD13" i="59"/>
  <c r="X65" i="52"/>
  <c r="C59" i="52"/>
  <c r="X51" i="52"/>
  <c r="E45" i="52"/>
  <c r="P38" i="52"/>
  <c r="X29" i="52"/>
  <c r="E21" i="52"/>
  <c r="CD16" i="61"/>
  <c r="A41" i="59"/>
  <c r="E8" i="92"/>
  <c r="F65" i="52"/>
  <c r="F51" i="52"/>
  <c r="F38" i="52"/>
  <c r="F20" i="52"/>
  <c r="B5" i="91"/>
  <c r="AM14" i="91"/>
  <c r="K61" i="91"/>
  <c r="AF9" i="92"/>
  <c r="B24" i="92"/>
  <c r="E8" i="93"/>
  <c r="S7" i="94"/>
  <c r="V5" i="95"/>
  <c r="AD14" i="95"/>
  <c r="EY5" i="61"/>
  <c r="AB40" i="57"/>
  <c r="X64" i="52"/>
  <c r="E51" i="52"/>
  <c r="X37" i="52"/>
  <c r="E27" i="52"/>
  <c r="E20" i="52"/>
  <c r="CD11" i="63"/>
  <c r="CM9" i="51"/>
  <c r="B24" i="93"/>
  <c r="AL19" i="94"/>
  <c r="EY5" i="57"/>
  <c r="A2" i="93"/>
  <c r="E64" i="52"/>
  <c r="X57" i="52"/>
  <c r="F43" i="52"/>
  <c r="X36" i="52"/>
  <c r="C26" i="52"/>
  <c r="D26" i="52" s="1"/>
  <c r="X18" i="52"/>
  <c r="BY32" i="50"/>
  <c r="BY32" i="59"/>
  <c r="AE45" i="106"/>
  <c r="CO9" i="51"/>
  <c r="J5" i="91"/>
  <c r="B27" i="91"/>
  <c r="H71" i="91"/>
  <c r="H71" i="92"/>
  <c r="AF9" i="93"/>
  <c r="H71" i="93"/>
  <c r="B24" i="94"/>
  <c r="X5" i="55"/>
  <c r="X56" i="91" s="1"/>
  <c r="FA6" i="57"/>
  <c r="FA6" i="59"/>
  <c r="FA6" i="61"/>
  <c r="C64" i="52"/>
  <c r="D64" i="52" s="1"/>
  <c r="X56" i="52"/>
  <c r="E50" i="52"/>
  <c r="X42" i="52"/>
  <c r="V36" i="52"/>
  <c r="N25" i="52"/>
  <c r="E17" i="52"/>
  <c r="BY3" i="61"/>
  <c r="AO5" i="51"/>
  <c r="CA33" i="55"/>
  <c r="AC46" i="106"/>
  <c r="AA47" i="106"/>
  <c r="AE46" i="106"/>
  <c r="B28" i="91"/>
  <c r="H71" i="94"/>
  <c r="FA8" i="57"/>
  <c r="X63" i="52"/>
  <c r="X55" i="52"/>
  <c r="C50" i="52"/>
  <c r="D50" i="52" s="1"/>
  <c r="E42" i="52"/>
  <c r="F25" i="52"/>
  <c r="X5" i="61"/>
  <c r="X56" i="94" s="1"/>
  <c r="CA33" i="57"/>
  <c r="R5" i="91"/>
  <c r="AM14" i="92"/>
  <c r="B28" i="92"/>
  <c r="AF25" i="93"/>
  <c r="E8" i="95"/>
  <c r="K61" i="95"/>
  <c r="EY5" i="55"/>
  <c r="CD16" i="57"/>
  <c r="B18" i="92" s="1"/>
  <c r="E63" i="52"/>
  <c r="X54" i="52"/>
  <c r="X49" i="52"/>
  <c r="X41" i="52"/>
  <c r="F34" i="52"/>
  <c r="X24" i="52"/>
  <c r="E14" i="52"/>
  <c r="AB40" i="61"/>
  <c r="BY3" i="63"/>
  <c r="B39" i="53"/>
  <c r="W34" i="80"/>
  <c r="X34" i="80" s="1"/>
  <c r="M7" i="99"/>
  <c r="T2" i="52"/>
  <c r="T7" i="52"/>
  <c r="T35" i="52"/>
  <c r="T38" i="52"/>
  <c r="T42" i="52"/>
  <c r="T53" i="52"/>
  <c r="T60" i="52"/>
  <c r="T66" i="52"/>
  <c r="T8" i="52"/>
  <c r="T16" i="52"/>
  <c r="T25" i="52"/>
  <c r="T30" i="52"/>
  <c r="T50" i="52"/>
  <c r="T64" i="52"/>
  <c r="T9" i="52"/>
  <c r="T36" i="52"/>
  <c r="T39" i="52"/>
  <c r="T46" i="52"/>
  <c r="T57" i="52"/>
  <c r="T10" i="52"/>
  <c r="T17" i="52"/>
  <c r="T22" i="52"/>
  <c r="T26" i="52"/>
  <c r="T31" i="52"/>
  <c r="T43" i="52"/>
  <c r="T47" i="52"/>
  <c r="T54" i="52"/>
  <c r="T61" i="52"/>
  <c r="H69" i="94"/>
  <c r="H69" i="92"/>
  <c r="T11" i="52"/>
  <c r="T27" i="52"/>
  <c r="T40" i="52"/>
  <c r="T51" i="52"/>
  <c r="T58" i="52"/>
  <c r="H69" i="91"/>
  <c r="T19" i="52"/>
  <c r="T23" i="52"/>
  <c r="T62" i="52"/>
  <c r="T65" i="52"/>
  <c r="T3" i="52"/>
  <c r="T12" i="52"/>
  <c r="T28" i="52"/>
  <c r="T32" i="52"/>
  <c r="T37" i="52"/>
  <c r="T44" i="52"/>
  <c r="T48" i="52"/>
  <c r="T55" i="52"/>
  <c r="H69" i="95"/>
  <c r="T4" i="52"/>
  <c r="T13" i="52"/>
  <c r="T33" i="52"/>
  <c r="AC5" i="52"/>
  <c r="T24" i="52"/>
  <c r="T29" i="52"/>
  <c r="T41" i="52"/>
  <c r="T49" i="52"/>
  <c r="T59" i="52"/>
  <c r="T63" i="52"/>
  <c r="T14" i="52"/>
  <c r="T20" i="52"/>
  <c r="T45" i="52"/>
  <c r="T52" i="52"/>
  <c r="T56" i="52"/>
  <c r="H69" i="93"/>
  <c r="H69" i="32"/>
  <c r="T6" i="52"/>
  <c r="T15" i="52"/>
  <c r="T34" i="52"/>
  <c r="B32" i="94"/>
  <c r="Q28" i="97"/>
  <c r="A125" i="51"/>
  <c r="CK9" i="51"/>
  <c r="B8" i="91"/>
  <c r="B12" i="92"/>
  <c r="H23" i="92"/>
  <c r="B33" i="92"/>
  <c r="B26" i="93"/>
  <c r="B11" i="93"/>
  <c r="B27" i="95"/>
  <c r="B33" i="95"/>
  <c r="EY3" i="55"/>
  <c r="EY4" i="57"/>
  <c r="N66" i="52"/>
  <c r="BY6" i="61"/>
  <c r="BY4" i="63"/>
  <c r="AB40" i="63"/>
  <c r="A25" i="50"/>
  <c r="BZ34" i="63"/>
  <c r="A25" i="57"/>
  <c r="A5" i="61"/>
  <c r="A54" i="63"/>
  <c r="B34" i="53"/>
  <c r="B19" i="53"/>
  <c r="U76" i="73" s="1"/>
  <c r="B11" i="53"/>
  <c r="B676" i="53"/>
  <c r="A41" i="61"/>
  <c r="C120" i="51"/>
  <c r="A105" i="51"/>
  <c r="U79" i="73"/>
  <c r="EY3" i="59"/>
  <c r="E56" i="52"/>
  <c r="E38" i="52"/>
  <c r="C34" i="52"/>
  <c r="D34" i="52" s="1"/>
  <c r="A41" i="63"/>
  <c r="AR19" i="95"/>
  <c r="EY4" i="55"/>
  <c r="AB41" i="55"/>
  <c r="EY4" i="59"/>
  <c r="FA4" i="61"/>
  <c r="EY2" i="63"/>
  <c r="C66" i="52"/>
  <c r="D66" i="52" s="1"/>
  <c r="E52" i="52"/>
  <c r="E29" i="52"/>
  <c r="E24" i="52"/>
  <c r="B114" i="53"/>
  <c r="A135" i="51" s="1"/>
  <c r="C32" i="96"/>
  <c r="FA4" i="55"/>
  <c r="C20" i="52"/>
  <c r="D20" i="52" s="1"/>
  <c r="CA34" i="57"/>
  <c r="A45" i="59"/>
  <c r="B31" i="53"/>
  <c r="A61" i="63" s="1"/>
  <c r="B65" i="53"/>
  <c r="B30" i="53"/>
  <c r="B59" i="53"/>
  <c r="B6" i="53"/>
  <c r="A3" i="55" s="1"/>
  <c r="C114" i="53"/>
  <c r="A118" i="51"/>
  <c r="B32" i="91"/>
  <c r="E55" i="52"/>
  <c r="E44" i="52"/>
  <c r="N37" i="52"/>
  <c r="AB40" i="59"/>
  <c r="J16" i="93" s="1"/>
  <c r="A45" i="50"/>
  <c r="BZ34" i="59"/>
  <c r="BY32" i="55"/>
  <c r="A45" i="55"/>
  <c r="B62" i="53"/>
  <c r="B53" i="53"/>
  <c r="A33" i="63" s="1"/>
  <c r="B18" i="53"/>
  <c r="B75" i="53"/>
  <c r="A67" i="50" s="1"/>
  <c r="B26" i="32"/>
  <c r="CY9" i="51"/>
  <c r="B26" i="92"/>
  <c r="B8" i="93"/>
  <c r="B32" i="93"/>
  <c r="B26" i="94"/>
  <c r="B15" i="95"/>
  <c r="FA7" i="63"/>
  <c r="N65" i="52"/>
  <c r="E48" i="52"/>
  <c r="E37" i="52"/>
  <c r="X3" i="61"/>
  <c r="X54" i="94" s="1"/>
  <c r="CD17" i="63"/>
  <c r="BY35" i="57"/>
  <c r="A8" i="59"/>
  <c r="B48" i="53"/>
  <c r="B41" i="53"/>
  <c r="B52" i="53"/>
  <c r="A32" i="57" s="1"/>
  <c r="B13" i="53"/>
  <c r="U70" i="73" s="1"/>
  <c r="A132" i="51"/>
  <c r="B27" i="92"/>
  <c r="B33" i="93"/>
  <c r="M10" i="55"/>
  <c r="N10" i="55" s="1"/>
  <c r="FA8" i="61"/>
  <c r="E58" i="52"/>
  <c r="F18" i="52"/>
  <c r="F11" i="52"/>
  <c r="AB41" i="61"/>
  <c r="A59" i="50"/>
  <c r="A8" i="50"/>
  <c r="CA32" i="63"/>
  <c r="BY34" i="57"/>
  <c r="A59" i="55"/>
  <c r="A45" i="57"/>
  <c r="A8" i="57"/>
  <c r="A25" i="61"/>
  <c r="A59" i="63"/>
  <c r="B40" i="53"/>
  <c r="A50" i="57" s="1"/>
  <c r="B29" i="53"/>
  <c r="B64" i="53"/>
  <c r="A15" i="57" s="1"/>
  <c r="B74" i="53"/>
  <c r="E110" i="51"/>
  <c r="U104" i="73"/>
  <c r="C65" i="52"/>
  <c r="D65" i="52" s="1"/>
  <c r="N61" i="52"/>
  <c r="E54" i="52"/>
  <c r="E47" i="52"/>
  <c r="N31" i="52"/>
  <c r="F110" i="51"/>
  <c r="B15" i="100"/>
  <c r="B96" i="51"/>
  <c r="E61" i="52"/>
  <c r="E43" i="52"/>
  <c r="B46" i="53"/>
  <c r="B38" i="53"/>
  <c r="A48" i="61" s="1"/>
  <c r="B23" i="53"/>
  <c r="A27" i="50" s="1"/>
  <c r="B16" i="53"/>
  <c r="B67" i="53"/>
  <c r="A37" i="61" s="1"/>
  <c r="A41" i="50"/>
  <c r="B32" i="32"/>
  <c r="E96" i="51"/>
  <c r="B26" i="91"/>
  <c r="B8" i="92"/>
  <c r="B12" i="93"/>
  <c r="FA8" i="55"/>
  <c r="EY2" i="57"/>
  <c r="AB41" i="57"/>
  <c r="CD17" i="59"/>
  <c r="N57" i="52"/>
  <c r="E39" i="52"/>
  <c r="E22" i="52"/>
  <c r="CD17" i="61"/>
  <c r="A59" i="59"/>
  <c r="A62" i="61"/>
  <c r="B44" i="53"/>
  <c r="A57" i="61" s="1"/>
  <c r="B36" i="53"/>
  <c r="U96" i="73" s="1"/>
  <c r="B10" i="53"/>
  <c r="B66" i="53"/>
  <c r="A36" i="63" s="1"/>
  <c r="A41" i="55"/>
  <c r="F96" i="51"/>
  <c r="CD17" i="55"/>
  <c r="C57" i="52"/>
  <c r="D57" i="52" s="1"/>
  <c r="AB41" i="63"/>
  <c r="A55" i="50"/>
  <c r="BY34" i="50"/>
  <c r="CA34" i="63"/>
  <c r="BY32" i="61"/>
  <c r="A55" i="55"/>
  <c r="A59" i="57"/>
  <c r="A25" i="59"/>
  <c r="B43" i="53"/>
  <c r="B37" i="53"/>
  <c r="A46" i="63" s="1"/>
  <c r="B22" i="53"/>
  <c r="B15" i="53"/>
  <c r="A9" i="55" s="1"/>
  <c r="B562" i="53"/>
  <c r="AV16" i="32"/>
  <c r="AW16" i="32" s="1"/>
  <c r="AT15" i="32" s="1"/>
  <c r="D81" i="53"/>
  <c r="R27" i="52"/>
  <c r="R37" i="52"/>
  <c r="H68" i="32"/>
  <c r="R2" i="52"/>
  <c r="R20" i="52"/>
  <c r="R28" i="52"/>
  <c r="R49" i="52"/>
  <c r="R56" i="52"/>
  <c r="R60" i="52"/>
  <c r="R65" i="52"/>
  <c r="R39" i="52"/>
  <c r="H68" i="92"/>
  <c r="R16" i="52"/>
  <c r="R34" i="52"/>
  <c r="R64" i="52"/>
  <c r="H68" i="95"/>
  <c r="R55" i="52"/>
  <c r="R59" i="52"/>
  <c r="R50" i="52"/>
  <c r="R41" i="52"/>
  <c r="R46" i="52"/>
  <c r="R48" i="52"/>
  <c r="R51" i="52"/>
  <c r="R66" i="52"/>
  <c r="R63" i="52"/>
  <c r="AC4" i="52"/>
  <c r="R33" i="52"/>
  <c r="R45" i="52"/>
  <c r="R21" i="52"/>
  <c r="R58" i="52"/>
  <c r="H68" i="94"/>
  <c r="R53" i="52"/>
  <c r="R15" i="52"/>
  <c r="R38" i="52"/>
  <c r="R62" i="52"/>
  <c r="R57" i="52"/>
  <c r="R61" i="52"/>
  <c r="H68" i="93"/>
  <c r="H68" i="91"/>
  <c r="L2" i="52"/>
  <c r="L18" i="52"/>
  <c r="L20" i="52"/>
  <c r="L22" i="52"/>
  <c r="L42" i="52"/>
  <c r="L52" i="52"/>
  <c r="L14" i="52"/>
  <c r="L36" i="52"/>
  <c r="L39" i="52"/>
  <c r="L44" i="52"/>
  <c r="L64" i="52"/>
  <c r="H65" i="93"/>
  <c r="H65" i="91"/>
  <c r="L9" i="52"/>
  <c r="L16" i="52"/>
  <c r="L24" i="52"/>
  <c r="L26" i="52"/>
  <c r="L30" i="52"/>
  <c r="L34" i="52"/>
  <c r="L55" i="52"/>
  <c r="L59" i="52"/>
  <c r="L60" i="52"/>
  <c r="L12" i="52"/>
  <c r="L32" i="52"/>
  <c r="L46" i="52"/>
  <c r="L48" i="52"/>
  <c r="L51" i="52"/>
  <c r="L56" i="52"/>
  <c r="L41" i="52"/>
  <c r="L54" i="52"/>
  <c r="L63" i="52"/>
  <c r="L58" i="52"/>
  <c r="H65" i="95"/>
  <c r="H65" i="92"/>
  <c r="H65" i="32"/>
  <c r="L3" i="52"/>
  <c r="L7" i="52"/>
  <c r="L10" i="52"/>
  <c r="L19" i="52"/>
  <c r="L21" i="52"/>
  <c r="L23" i="52"/>
  <c r="L29" i="52"/>
  <c r="L38" i="52"/>
  <c r="L43" i="52"/>
  <c r="L62" i="52"/>
  <c r="AC1" i="52"/>
  <c r="L47" i="52"/>
  <c r="L15" i="52"/>
  <c r="L35" i="52"/>
  <c r="L50" i="52"/>
  <c r="L53" i="52"/>
  <c r="L4" i="52"/>
  <c r="L13" i="52"/>
  <c r="L25" i="52"/>
  <c r="L27" i="52"/>
  <c r="L31" i="52"/>
  <c r="L33" i="52"/>
  <c r="L40" i="52"/>
  <c r="L45" i="52"/>
  <c r="L57" i="52"/>
  <c r="L61" i="52"/>
  <c r="L66" i="52"/>
  <c r="L17" i="52"/>
  <c r="L8" i="52"/>
  <c r="L11" i="52"/>
  <c r="L37" i="52"/>
  <c r="L65" i="52"/>
  <c r="H65" i="94"/>
  <c r="L5" i="52"/>
  <c r="L49" i="52"/>
  <c r="AL37" i="73"/>
  <c r="AE10" i="32"/>
  <c r="B48" i="73"/>
  <c r="S24" i="91"/>
  <c r="S7" i="92"/>
  <c r="AE10" i="95"/>
  <c r="AC24" i="95"/>
  <c r="D29" i="95"/>
  <c r="V62" i="52"/>
  <c r="F60" i="52"/>
  <c r="F56" i="52"/>
  <c r="F49" i="52"/>
  <c r="N47" i="52"/>
  <c r="F42" i="52"/>
  <c r="V40" i="52"/>
  <c r="C39" i="52"/>
  <c r="V35" i="52"/>
  <c r="C30" i="52"/>
  <c r="C28" i="52"/>
  <c r="C24" i="52"/>
  <c r="C16" i="52"/>
  <c r="C14" i="52"/>
  <c r="C3" i="52"/>
  <c r="D3" i="52" s="1"/>
  <c r="DN2" i="63"/>
  <c r="EN3" i="63"/>
  <c r="T54" i="95" s="1"/>
  <c r="CA32" i="59"/>
  <c r="A28" i="61"/>
  <c r="S24" i="32"/>
  <c r="B9" i="71"/>
  <c r="H70" i="91"/>
  <c r="AL19" i="93"/>
  <c r="AF30" i="93"/>
  <c r="H70" i="93"/>
  <c r="B21" i="92"/>
  <c r="E65" i="52"/>
  <c r="V63" i="52"/>
  <c r="C60" i="52"/>
  <c r="C56" i="52"/>
  <c r="D56" i="52" s="1"/>
  <c r="V54" i="52"/>
  <c r="N53" i="52"/>
  <c r="P50" i="52"/>
  <c r="F47" i="52"/>
  <c r="C42" i="52"/>
  <c r="F37" i="52"/>
  <c r="N35" i="52"/>
  <c r="V29" i="52"/>
  <c r="V23" i="52"/>
  <c r="T21" i="52"/>
  <c r="C11" i="52"/>
  <c r="D11" i="52" s="1"/>
  <c r="C8" i="52"/>
  <c r="D8" i="52" s="1"/>
  <c r="E2" i="52"/>
  <c r="A2" i="95"/>
  <c r="D148" i="71" s="1"/>
  <c r="EN3" i="50"/>
  <c r="T54" i="32" s="1"/>
  <c r="CA34" i="59"/>
  <c r="A54" i="57"/>
  <c r="C8" i="96"/>
  <c r="B33" i="91"/>
  <c r="AC8" i="92"/>
  <c r="AC8" i="94"/>
  <c r="DN2" i="59"/>
  <c r="F66" i="52"/>
  <c r="G66" i="52" s="1"/>
  <c r="N62" i="52"/>
  <c r="F61" i="52"/>
  <c r="F57" i="52"/>
  <c r="V51" i="52"/>
  <c r="V48" i="52"/>
  <c r="F45" i="52"/>
  <c r="N43" i="52"/>
  <c r="F40" i="52"/>
  <c r="F33" i="52"/>
  <c r="F31" i="52"/>
  <c r="F17" i="52"/>
  <c r="F13" i="52"/>
  <c r="B21" i="94"/>
  <c r="EN4" i="55"/>
  <c r="T55" i="91" s="1"/>
  <c r="CA34" i="50"/>
  <c r="CA32" i="61"/>
  <c r="E49" i="52"/>
  <c r="S7" i="91"/>
  <c r="S24" i="93"/>
  <c r="AF25" i="95"/>
  <c r="X4" i="55"/>
  <c r="X55" i="91" s="1"/>
  <c r="FA3" i="57"/>
  <c r="EY3" i="63"/>
  <c r="V59" i="52"/>
  <c r="N58" i="52"/>
  <c r="E57" i="52"/>
  <c r="V55" i="52"/>
  <c r="P54" i="52"/>
  <c r="F50" i="52"/>
  <c r="G50" i="52" s="1"/>
  <c r="C37" i="52"/>
  <c r="F35" i="52"/>
  <c r="E33" i="52"/>
  <c r="E31" i="52"/>
  <c r="F27" i="52"/>
  <c r="E25" i="52"/>
  <c r="F15" i="52"/>
  <c r="E13" i="52"/>
  <c r="F5" i="52"/>
  <c r="C2" i="52"/>
  <c r="D2" i="52" s="1"/>
  <c r="EN3" i="55"/>
  <c r="T54" i="91" s="1"/>
  <c r="CA32" i="50"/>
  <c r="A62" i="59"/>
  <c r="E8" i="52"/>
  <c r="V83" i="109"/>
  <c r="B34" i="80"/>
  <c r="A97" i="51"/>
  <c r="B30" i="92"/>
  <c r="AC24" i="93"/>
  <c r="H70" i="94"/>
  <c r="S7" i="95"/>
  <c r="AF30" i="95"/>
  <c r="B21" i="91"/>
  <c r="EY2" i="59"/>
  <c r="V64" i="52"/>
  <c r="N63" i="52"/>
  <c r="C61" i="52"/>
  <c r="N54" i="52"/>
  <c r="F53" i="52"/>
  <c r="C45" i="52"/>
  <c r="D45" i="52" s="1"/>
  <c r="C40" i="52"/>
  <c r="D40" i="52" s="1"/>
  <c r="E35" i="52"/>
  <c r="F29" i="52"/>
  <c r="C25" i="52"/>
  <c r="D25" i="52" s="1"/>
  <c r="F23" i="52"/>
  <c r="F21" i="52"/>
  <c r="F19" i="52"/>
  <c r="C17" i="52"/>
  <c r="E15" i="52"/>
  <c r="C13" i="52"/>
  <c r="F10" i="52"/>
  <c r="F7" i="52"/>
  <c r="B21" i="95"/>
  <c r="X4" i="63"/>
  <c r="X55" i="95" s="1"/>
  <c r="EN4" i="57"/>
  <c r="T55" i="92" s="1"/>
  <c r="A54" i="50"/>
  <c r="CA32" i="55"/>
  <c r="CA34" i="61"/>
  <c r="A54" i="55"/>
  <c r="AE10" i="92"/>
  <c r="H66" i="92"/>
  <c r="H66" i="95"/>
  <c r="F62" i="52"/>
  <c r="F58" i="52"/>
  <c r="E53" i="52"/>
  <c r="N51" i="52"/>
  <c r="N48" i="52"/>
  <c r="N46" i="52"/>
  <c r="N32" i="52"/>
  <c r="C27" i="52"/>
  <c r="E19" i="52"/>
  <c r="E10" i="52"/>
  <c r="C7" i="52"/>
  <c r="C5" i="52"/>
  <c r="D5" i="52" s="1"/>
  <c r="EN3" i="57"/>
  <c r="T54" i="92" s="1"/>
  <c r="B8" i="100"/>
  <c r="B32" i="73"/>
  <c r="V79" i="109"/>
  <c r="H66" i="32"/>
  <c r="AC8" i="91"/>
  <c r="B8" i="95"/>
  <c r="AM14" i="95"/>
  <c r="AO31" i="95"/>
  <c r="V65" i="52"/>
  <c r="E62" i="52"/>
  <c r="V60" i="52"/>
  <c r="N59" i="52"/>
  <c r="V56" i="52"/>
  <c r="N55" i="52"/>
  <c r="F54" i="52"/>
  <c r="C53" i="52"/>
  <c r="C43" i="52"/>
  <c r="D43" i="52" s="1"/>
  <c r="C38" i="52"/>
  <c r="C23" i="52"/>
  <c r="D23" i="52" s="1"/>
  <c r="C21" i="52"/>
  <c r="D21" i="52" s="1"/>
  <c r="EN4" i="59"/>
  <c r="T55" i="93" s="1"/>
  <c r="CA34" i="55"/>
  <c r="A50" i="61"/>
  <c r="AB5" i="71"/>
  <c r="B30" i="91"/>
  <c r="S24" i="94"/>
  <c r="EY2" i="61"/>
  <c r="DN2" i="57"/>
  <c r="N64" i="52"/>
  <c r="F63" i="52"/>
  <c r="C62" i="52"/>
  <c r="C58" i="52"/>
  <c r="D58" i="52" s="1"/>
  <c r="N44" i="52"/>
  <c r="N36" i="52"/>
  <c r="F32" i="52"/>
  <c r="T18" i="52"/>
  <c r="N14" i="52"/>
  <c r="E4" i="52"/>
  <c r="EN3" i="59"/>
  <c r="T54" i="93" s="1"/>
  <c r="CA32" i="57"/>
  <c r="BY33" i="57"/>
  <c r="A62" i="57"/>
  <c r="A48" i="63"/>
  <c r="V5" i="96"/>
  <c r="AC2" i="52"/>
  <c r="S24" i="92"/>
  <c r="AD14" i="94"/>
  <c r="AC24" i="94"/>
  <c r="H70" i="95"/>
  <c r="DN2" i="55"/>
  <c r="V66" i="52"/>
  <c r="F59" i="52"/>
  <c r="F26" i="52"/>
  <c r="N18" i="52"/>
  <c r="E12" i="52"/>
  <c r="G12" i="52" s="1"/>
  <c r="F9" i="52"/>
  <c r="C6" i="52"/>
  <c r="C4" i="52"/>
  <c r="DN2" i="61"/>
  <c r="A54" i="59"/>
  <c r="V6" i="96"/>
  <c r="H66" i="91"/>
  <c r="AC24" i="92"/>
  <c r="AF30" i="92"/>
  <c r="H70" i="92"/>
  <c r="H66" i="93"/>
  <c r="AM14" i="94"/>
  <c r="FA4" i="59"/>
  <c r="X4" i="57"/>
  <c r="X55" i="92" s="1"/>
  <c r="F64" i="52"/>
  <c r="G64" i="52" s="1"/>
  <c r="C63" i="52"/>
  <c r="V61" i="52"/>
  <c r="N60" i="52"/>
  <c r="E59" i="52"/>
  <c r="V57" i="52"/>
  <c r="N56" i="52"/>
  <c r="F55" i="52"/>
  <c r="V47" i="52"/>
  <c r="F44" i="52"/>
  <c r="C41" i="52"/>
  <c r="F39" i="52"/>
  <c r="F36" i="52"/>
  <c r="E34" i="52"/>
  <c r="E26" i="52"/>
  <c r="F24" i="52"/>
  <c r="F16" i="52"/>
  <c r="F14" i="52"/>
  <c r="E9" i="52"/>
  <c r="T5" i="52"/>
  <c r="EN4" i="63"/>
  <c r="T55" i="95" s="1"/>
  <c r="A62" i="50"/>
  <c r="BZ33" i="57"/>
  <c r="BY34" i="59"/>
  <c r="A62" i="55"/>
  <c r="W37" i="95" a="1"/>
  <c r="W37" i="95" s="1"/>
  <c r="W37" i="93" a="1"/>
  <c r="W37" i="93" s="1"/>
  <c r="W37" i="94" a="1"/>
  <c r="W37" i="94" s="1"/>
  <c r="W37" i="91" a="1"/>
  <c r="W37" i="91" s="1"/>
  <c r="W37" i="92" a="1"/>
  <c r="W37" i="92" s="1"/>
  <c r="W37" i="32" a="1"/>
  <c r="W37" i="32" s="1"/>
  <c r="B7" i="95"/>
  <c r="B7" i="93"/>
  <c r="B7" i="94"/>
  <c r="B72" i="21"/>
  <c r="B7" i="92"/>
  <c r="B7" i="91"/>
  <c r="S39" i="73"/>
  <c r="A38" i="63"/>
  <c r="A38" i="50"/>
  <c r="A38" i="61"/>
  <c r="A38" i="57"/>
  <c r="B66" i="44"/>
  <c r="B69" i="44"/>
  <c r="D29" i="32"/>
  <c r="D29" i="94"/>
  <c r="D59" i="52"/>
  <c r="C119" i="51"/>
  <c r="A137" i="51"/>
  <c r="F102" i="51"/>
  <c r="B102" i="51"/>
  <c r="E102" i="51"/>
  <c r="A124" i="51"/>
  <c r="E100" i="51"/>
  <c r="F100" i="51"/>
  <c r="A122" i="51"/>
  <c r="A109" i="51"/>
  <c r="C112" i="51"/>
  <c r="C107" i="51"/>
  <c r="A99" i="51"/>
  <c r="P13" i="52"/>
  <c r="P25" i="52"/>
  <c r="P31" i="52"/>
  <c r="P43" i="52"/>
  <c r="P5" i="52"/>
  <c r="P11" i="52"/>
  <c r="P12" i="52"/>
  <c r="P24" i="52"/>
  <c r="P30" i="52"/>
  <c r="P42" i="52"/>
  <c r="P10" i="52"/>
  <c r="P23" i="52"/>
  <c r="P29" i="52"/>
  <c r="P41" i="52"/>
  <c r="P53" i="52"/>
  <c r="P9" i="52"/>
  <c r="P22" i="52"/>
  <c r="P8" i="52"/>
  <c r="P21" i="52"/>
  <c r="P39" i="52"/>
  <c r="P51" i="52"/>
  <c r="P7" i="52"/>
  <c r="P4" i="52"/>
  <c r="P18" i="52"/>
  <c r="P2" i="52"/>
  <c r="P17" i="52"/>
  <c r="P35" i="52"/>
  <c r="P16" i="52"/>
  <c r="P34" i="52"/>
  <c r="P46" i="52"/>
  <c r="A43" i="61"/>
  <c r="A43" i="57"/>
  <c r="A43" i="59"/>
  <c r="A37" i="50"/>
  <c r="D40" i="71"/>
  <c r="AP2" i="91"/>
  <c r="B11" i="92"/>
  <c r="AO31" i="93"/>
  <c r="H23" i="94"/>
  <c r="B30" i="94"/>
  <c r="B11" i="95"/>
  <c r="B30" i="95"/>
  <c r="AT37" i="95"/>
  <c r="D80" i="53"/>
  <c r="FA4" i="57"/>
  <c r="EY5" i="59"/>
  <c r="EY4" i="63"/>
  <c r="FA8" i="63"/>
  <c r="P55" i="52"/>
  <c r="P47" i="52"/>
  <c r="P44" i="52"/>
  <c r="P14" i="52"/>
  <c r="N5" i="52"/>
  <c r="N11" i="52"/>
  <c r="N12" i="52"/>
  <c r="N24" i="52"/>
  <c r="N30" i="52"/>
  <c r="N42" i="52"/>
  <c r="N10" i="52"/>
  <c r="N23" i="52"/>
  <c r="N29" i="52"/>
  <c r="N41" i="52"/>
  <c r="N9" i="52"/>
  <c r="N22" i="52"/>
  <c r="N40" i="52"/>
  <c r="N52" i="52"/>
  <c r="N8" i="52"/>
  <c r="N21" i="52"/>
  <c r="N7" i="52"/>
  <c r="N20" i="52"/>
  <c r="N38" i="52"/>
  <c r="N50" i="52"/>
  <c r="N2" i="52"/>
  <c r="N4" i="52"/>
  <c r="N19" i="52"/>
  <c r="N17" i="52"/>
  <c r="N16" i="52"/>
  <c r="N34" i="52"/>
  <c r="N15" i="52"/>
  <c r="N27" i="52"/>
  <c r="N33" i="52"/>
  <c r="N45" i="52"/>
  <c r="A34" i="63"/>
  <c r="A34" i="55"/>
  <c r="A34" i="50"/>
  <c r="A34" i="61"/>
  <c r="A34" i="57"/>
  <c r="A9" i="50"/>
  <c r="A9" i="61"/>
  <c r="A9" i="57"/>
  <c r="AE10" i="91"/>
  <c r="AR19" i="93"/>
  <c r="K61" i="94"/>
  <c r="D79" i="53"/>
  <c r="P56" i="52"/>
  <c r="P3" i="52"/>
  <c r="BZ32" i="50"/>
  <c r="BZ32" i="63"/>
  <c r="BZ32" i="57"/>
  <c r="A49" i="59"/>
  <c r="A49" i="55"/>
  <c r="A49" i="50"/>
  <c r="A49" i="61"/>
  <c r="A49" i="57"/>
  <c r="D121" i="71"/>
  <c r="B28" i="93"/>
  <c r="AE10" i="94"/>
  <c r="B12" i="95"/>
  <c r="H23" i="95"/>
  <c r="FA7" i="61"/>
  <c r="FA9" i="63"/>
  <c r="P57" i="52"/>
  <c r="P33" i="52"/>
  <c r="V17" i="52"/>
  <c r="N3" i="52"/>
  <c r="A43" i="55"/>
  <c r="D94" i="71"/>
  <c r="B15" i="93"/>
  <c r="D29" i="93"/>
  <c r="FA7" i="59"/>
  <c r="P58" i="52"/>
  <c r="P26" i="52"/>
  <c r="T54" i="94"/>
  <c r="A55" i="61"/>
  <c r="A55" i="57"/>
  <c r="A55" i="59"/>
  <c r="BY13" i="61"/>
  <c r="M10" i="57"/>
  <c r="N10" i="57" s="1"/>
  <c r="M10" i="63"/>
  <c r="N10" i="63" s="1"/>
  <c r="M10" i="59"/>
  <c r="N10" i="59" s="1"/>
  <c r="M10" i="61"/>
  <c r="N10" i="61" s="1"/>
  <c r="B13" i="91"/>
  <c r="AO31" i="92"/>
  <c r="AP2" i="95"/>
  <c r="B13" i="95"/>
  <c r="H67" i="95"/>
  <c r="FA7" i="57"/>
  <c r="FA9" i="61"/>
  <c r="P59" i="52"/>
  <c r="P45" i="52"/>
  <c r="N39" i="52"/>
  <c r="N26" i="52"/>
  <c r="P19" i="52"/>
  <c r="X17" i="52"/>
  <c r="X35" i="52"/>
  <c r="X47" i="52"/>
  <c r="X16" i="52"/>
  <c r="X34" i="52"/>
  <c r="X46" i="52"/>
  <c r="X15" i="52"/>
  <c r="X27" i="52"/>
  <c r="X33" i="52"/>
  <c r="X45" i="52"/>
  <c r="X3" i="52"/>
  <c r="X14" i="52"/>
  <c r="X26" i="52"/>
  <c r="X13" i="52"/>
  <c r="X25" i="52"/>
  <c r="X31" i="52"/>
  <c r="X43" i="52"/>
  <c r="X5" i="52"/>
  <c r="X11" i="52"/>
  <c r="X12" i="52"/>
  <c r="X10" i="52"/>
  <c r="X9" i="52"/>
  <c r="X2" i="52"/>
  <c r="X8" i="52"/>
  <c r="X21" i="52"/>
  <c r="X39" i="52"/>
  <c r="X7" i="52"/>
  <c r="X20" i="52"/>
  <c r="X38" i="52"/>
  <c r="X50" i="52"/>
  <c r="C19" i="52"/>
  <c r="C49" i="52"/>
  <c r="C18" i="52"/>
  <c r="C36" i="52"/>
  <c r="C48" i="52"/>
  <c r="C35" i="52"/>
  <c r="C47" i="52"/>
  <c r="C33" i="52"/>
  <c r="C10" i="52"/>
  <c r="C9" i="52"/>
  <c r="AR19" i="92"/>
  <c r="K61" i="93"/>
  <c r="D84" i="53"/>
  <c r="FA9" i="59"/>
  <c r="P60" i="52"/>
  <c r="P48" i="52"/>
  <c r="P36" i="52"/>
  <c r="V16" i="52"/>
  <c r="V34" i="52"/>
  <c r="V46" i="52"/>
  <c r="V15" i="52"/>
  <c r="V27" i="52"/>
  <c r="V33" i="52"/>
  <c r="V45" i="52"/>
  <c r="V3" i="52"/>
  <c r="V14" i="52"/>
  <c r="V26" i="52"/>
  <c r="V32" i="52"/>
  <c r="V44" i="52"/>
  <c r="V13" i="52"/>
  <c r="V25" i="52"/>
  <c r="V5" i="52"/>
  <c r="V11" i="52"/>
  <c r="V12" i="52"/>
  <c r="V24" i="52"/>
  <c r="V30" i="52"/>
  <c r="V42" i="52"/>
  <c r="V2" i="52"/>
  <c r="V10" i="52"/>
  <c r="V9" i="52"/>
  <c r="V8" i="52"/>
  <c r="V21" i="52"/>
  <c r="V7" i="52"/>
  <c r="V20" i="52"/>
  <c r="V38" i="52"/>
  <c r="V4" i="52"/>
  <c r="V19" i="52"/>
  <c r="V37" i="52"/>
  <c r="V49" i="52"/>
  <c r="A28" i="63"/>
  <c r="A28" i="57"/>
  <c r="A28" i="59"/>
  <c r="A28" i="55"/>
  <c r="A28" i="50"/>
  <c r="A16" i="59"/>
  <c r="BY14" i="50"/>
  <c r="M11" i="57"/>
  <c r="N11" i="57" s="1"/>
  <c r="BY14" i="61"/>
  <c r="M11" i="63"/>
  <c r="N11" i="63" s="1"/>
  <c r="M11" i="59"/>
  <c r="N11" i="59" s="1"/>
  <c r="M11" i="61"/>
  <c r="N11" i="61" s="1"/>
  <c r="AO31" i="91"/>
  <c r="FA3" i="55"/>
  <c r="FA9" i="57"/>
  <c r="P61" i="52"/>
  <c r="P52" i="52"/>
  <c r="P15" i="52"/>
  <c r="J16" i="94"/>
  <c r="CA35" i="50"/>
  <c r="A3" i="59"/>
  <c r="AR19" i="91"/>
  <c r="B15" i="92"/>
  <c r="D29" i="92"/>
  <c r="AF25" i="94"/>
  <c r="P62" i="52"/>
  <c r="G51" i="52"/>
  <c r="P49" i="52"/>
  <c r="P37" i="52"/>
  <c r="X32" i="52"/>
  <c r="V22" i="52"/>
  <c r="N13" i="52"/>
  <c r="BZ32" i="55"/>
  <c r="BZ32" i="61"/>
  <c r="FA3" i="61"/>
  <c r="P63" i="52"/>
  <c r="P40" i="52"/>
  <c r="P27" i="52"/>
  <c r="BZ35" i="59"/>
  <c r="CA35" i="63"/>
  <c r="BZ35" i="63"/>
  <c r="CA35" i="61"/>
  <c r="CA35" i="55"/>
  <c r="BZ35" i="61"/>
  <c r="BZ35" i="55"/>
  <c r="BZ35" i="50"/>
  <c r="CA35" i="57"/>
  <c r="BZ35" i="57"/>
  <c r="B68" i="44"/>
  <c r="D29" i="91"/>
  <c r="P64" i="52"/>
  <c r="V41" i="52"/>
  <c r="P32" i="52"/>
  <c r="P20" i="52"/>
  <c r="V18" i="52"/>
  <c r="R3" i="52"/>
  <c r="R14" i="52"/>
  <c r="R26" i="52"/>
  <c r="R32" i="52"/>
  <c r="R44" i="52"/>
  <c r="R13" i="52"/>
  <c r="R25" i="52"/>
  <c r="R31" i="52"/>
  <c r="R43" i="52"/>
  <c r="R5" i="52"/>
  <c r="R11" i="52"/>
  <c r="R12" i="52"/>
  <c r="R24" i="52"/>
  <c r="R30" i="52"/>
  <c r="R42" i="52"/>
  <c r="R54" i="52"/>
  <c r="R10" i="52"/>
  <c r="R23" i="52"/>
  <c r="R29" i="52"/>
  <c r="R9" i="52"/>
  <c r="R22" i="52"/>
  <c r="R40" i="52"/>
  <c r="R52" i="52"/>
  <c r="R8" i="52"/>
  <c r="R7" i="52"/>
  <c r="R4" i="52"/>
  <c r="R19" i="52"/>
  <c r="R18" i="52"/>
  <c r="R36" i="52"/>
  <c r="R6" i="52"/>
  <c r="R17" i="52"/>
  <c r="R35" i="52"/>
  <c r="R47" i="52"/>
  <c r="EN5" i="63"/>
  <c r="T56" i="95" s="1"/>
  <c r="EN5" i="61"/>
  <c r="T56" i="94" s="1"/>
  <c r="EN5" i="59"/>
  <c r="T56" i="93" s="1"/>
  <c r="EN5" i="57"/>
  <c r="EN5" i="55"/>
  <c r="T56" i="91" s="1"/>
  <c r="EN5" i="50"/>
  <c r="T56" i="32" s="1"/>
  <c r="F2" i="52"/>
  <c r="CA33" i="63"/>
  <c r="E11" i="52"/>
  <c r="CD13" i="63"/>
  <c r="AV19" i="95" s="1"/>
  <c r="EN4" i="50"/>
  <c r="T55" i="32" s="1"/>
  <c r="BZ33" i="55"/>
  <c r="BZ33" i="61"/>
  <c r="BY35" i="63"/>
  <c r="B73" i="53"/>
  <c r="B82" i="53"/>
  <c r="BZ34" i="50"/>
  <c r="BZ34" i="55"/>
  <c r="BZ32" i="59"/>
  <c r="BZ34" i="61"/>
  <c r="BY35" i="59"/>
  <c r="BY34" i="63"/>
  <c r="A60" i="61"/>
  <c r="A31" i="63"/>
  <c r="A19" i="63"/>
  <c r="B12" i="53"/>
  <c r="B554" i="53"/>
  <c r="B42" i="53"/>
  <c r="B83" i="53"/>
  <c r="BZ33" i="59"/>
  <c r="BY35" i="55"/>
  <c r="BZ33" i="50"/>
  <c r="CA33" i="59"/>
  <c r="BY34" i="55"/>
  <c r="A45" i="61"/>
  <c r="B61" i="53"/>
  <c r="B21" i="53"/>
  <c r="B17" i="53"/>
  <c r="B72" i="53"/>
  <c r="A5" i="63"/>
  <c r="B553" i="53"/>
  <c r="B71" i="53"/>
  <c r="E18" i="52"/>
  <c r="F3" i="52"/>
  <c r="CA33" i="50"/>
  <c r="B58" i="53"/>
  <c r="B26" i="53"/>
  <c r="B20" i="53"/>
  <c r="B55" i="53"/>
  <c r="B76" i="53"/>
  <c r="B70" i="53"/>
  <c r="B7" i="53"/>
  <c r="B8" i="53"/>
  <c r="B69" i="53"/>
  <c r="CR5" i="51" l="1"/>
  <c r="A38" i="97"/>
  <c r="A15" i="61"/>
  <c r="CD13" i="50"/>
  <c r="AV19" i="32" s="1"/>
  <c r="A46" i="57"/>
  <c r="G32" i="52"/>
  <c r="C31" i="52"/>
  <c r="D31" i="52" s="1"/>
  <c r="C44" i="52"/>
  <c r="D44" i="52" s="1"/>
  <c r="A8" i="61"/>
  <c r="C54" i="52"/>
  <c r="D54" i="52" s="1"/>
  <c r="C29" i="52"/>
  <c r="D29" i="52" s="1"/>
  <c r="C15" i="52"/>
  <c r="D15" i="52" s="1"/>
  <c r="G65" i="52"/>
  <c r="A38" i="55"/>
  <c r="C55" i="52"/>
  <c r="C46" i="52"/>
  <c r="G46" i="52" s="1"/>
  <c r="U69" i="73"/>
  <c r="A8" i="55"/>
  <c r="U62" i="73"/>
  <c r="A25" i="55"/>
  <c r="BY13" i="63"/>
  <c r="AV19" i="93"/>
  <c r="BY13" i="57"/>
  <c r="A15" i="55"/>
  <c r="BY6" i="50"/>
  <c r="A16" i="61"/>
  <c r="A15" i="63"/>
  <c r="A27" i="63"/>
  <c r="AO3" i="51"/>
  <c r="BY6" i="55"/>
  <c r="BY6" i="59"/>
  <c r="A21" i="50"/>
  <c r="A16" i="50"/>
  <c r="BY35" i="50"/>
  <c r="A21" i="55"/>
  <c r="A16" i="55"/>
  <c r="BY6" i="63"/>
  <c r="AU23" i="95" s="1"/>
  <c r="W83" i="109"/>
  <c r="W31" i="109"/>
  <c r="W32" i="109" s="1"/>
  <c r="W33" i="109" s="1"/>
  <c r="A81" i="51"/>
  <c r="A16" i="57"/>
  <c r="A16" i="63"/>
  <c r="A86" i="51"/>
  <c r="A46" i="55"/>
  <c r="EY3" i="61"/>
  <c r="B77" i="51"/>
  <c r="EY3" i="50"/>
  <c r="K54" i="95" a="1"/>
  <c r="K58" i="95" s="1"/>
  <c r="AV19" i="92"/>
  <c r="AD15" i="107"/>
  <c r="Y39" i="109"/>
  <c r="G22" i="52"/>
  <c r="AV19" i="94"/>
  <c r="EY3" i="57"/>
  <c r="FA3" i="59"/>
  <c r="FA3" i="50"/>
  <c r="A50" i="55"/>
  <c r="K54" i="92" a="1"/>
  <c r="K55" i="92" s="1"/>
  <c r="B67" i="44"/>
  <c r="AC8" i="95"/>
  <c r="AC8" i="32"/>
  <c r="AC8" i="93"/>
  <c r="AC24" i="91"/>
  <c r="AC24" i="32"/>
  <c r="H61" i="95"/>
  <c r="H61" i="91"/>
  <c r="H61" i="93"/>
  <c r="H61" i="92"/>
  <c r="H61" i="94"/>
  <c r="H61" i="32"/>
  <c r="G59" i="52"/>
  <c r="D46" i="52"/>
  <c r="BY33" i="63"/>
  <c r="BY4" i="57"/>
  <c r="BW3" i="51"/>
  <c r="BY4" i="59"/>
  <c r="BY4" i="55"/>
  <c r="AU25" i="91" s="1"/>
  <c r="BY4" i="50"/>
  <c r="AP2" i="51"/>
  <c r="BY4" i="61"/>
  <c r="G8" i="52"/>
  <c r="A41" i="57"/>
  <c r="U90" i="73"/>
  <c r="A47" i="61"/>
  <c r="G34" i="52"/>
  <c r="A47" i="57"/>
  <c r="A27" i="55"/>
  <c r="BY33" i="61"/>
  <c r="AG167" i="99" s="1"/>
  <c r="BY32" i="57"/>
  <c r="W95" i="99" s="1"/>
  <c r="BY32" i="63"/>
  <c r="BY3" i="57"/>
  <c r="AP3" i="51"/>
  <c r="BY3" i="59"/>
  <c r="BW2" i="51"/>
  <c r="BY3" i="50"/>
  <c r="AU23" i="32" s="1"/>
  <c r="A5" i="57"/>
  <c r="A5" i="50"/>
  <c r="U59" i="73"/>
  <c r="A84" i="51"/>
  <c r="U81" i="73"/>
  <c r="A67" i="59"/>
  <c r="BY35" i="61"/>
  <c r="BW5" i="51"/>
  <c r="A27" i="57"/>
  <c r="AO4" i="51"/>
  <c r="BY33" i="50"/>
  <c r="AG23" i="99" s="1"/>
  <c r="A67" i="57"/>
  <c r="J16" i="92"/>
  <c r="B18" i="32"/>
  <c r="A67" i="63"/>
  <c r="A67" i="61"/>
  <c r="T59" i="95"/>
  <c r="G43" i="52"/>
  <c r="BY33" i="55"/>
  <c r="B18" i="91"/>
  <c r="V29" i="109"/>
  <c r="V56" i="109" s="1"/>
  <c r="J16" i="32"/>
  <c r="A59" i="61"/>
  <c r="A89" i="51"/>
  <c r="AU23" i="93"/>
  <c r="AU17" i="93" s="1"/>
  <c r="B18" i="94"/>
  <c r="K54" i="94" a="1"/>
  <c r="K56" i="94" s="1"/>
  <c r="K60" i="94" s="1"/>
  <c r="Y29" i="109"/>
  <c r="Z56" i="109" s="1"/>
  <c r="Z59" i="109" s="1"/>
  <c r="I56" i="73"/>
  <c r="A50" i="59"/>
  <c r="A32" i="63"/>
  <c r="AT37" i="91"/>
  <c r="A62" i="63"/>
  <c r="U111" i="73"/>
  <c r="A50" i="50"/>
  <c r="G21" i="52"/>
  <c r="AT37" i="94"/>
  <c r="AT37" i="92"/>
  <c r="G52" i="52"/>
  <c r="AC15" i="107"/>
  <c r="AT37" i="93"/>
  <c r="A3" i="61"/>
  <c r="E56" i="73"/>
  <c r="A3" i="50"/>
  <c r="M56" i="73"/>
  <c r="A15" i="50"/>
  <c r="AD50" i="106"/>
  <c r="AD51" i="106" s="1"/>
  <c r="AD59" i="106" s="1"/>
  <c r="AC22" i="107"/>
  <c r="B20" i="94"/>
  <c r="V31" i="109"/>
  <c r="V32" i="109" s="1"/>
  <c r="A21" i="61"/>
  <c r="A21" i="59"/>
  <c r="A21" i="57"/>
  <c r="U75" i="73"/>
  <c r="Z40" i="109"/>
  <c r="Y46" i="109"/>
  <c r="Y54" i="109" s="1"/>
  <c r="AE50" i="106"/>
  <c r="AE51" i="106" s="1"/>
  <c r="AE59" i="106" s="1"/>
  <c r="AV19" i="91"/>
  <c r="G11" i="52"/>
  <c r="G44" i="52"/>
  <c r="A15" i="59"/>
  <c r="W79" i="109"/>
  <c r="W84" i="109" s="1"/>
  <c r="AC50" i="106"/>
  <c r="AC51" i="106" s="1"/>
  <c r="AC59" i="106" s="1"/>
  <c r="AD22" i="107"/>
  <c r="AD23" i="107" s="1"/>
  <c r="BY13" i="50"/>
  <c r="M10" i="50"/>
  <c r="N10" i="50" s="1"/>
  <c r="BY13" i="55"/>
  <c r="A47" i="59"/>
  <c r="G57" i="52"/>
  <c r="G31" i="52"/>
  <c r="W34" i="109"/>
  <c r="W35" i="109" s="1"/>
  <c r="G56" i="52"/>
  <c r="K55" i="32"/>
  <c r="AU25" i="95"/>
  <c r="G20" i="52"/>
  <c r="AA50" i="106"/>
  <c r="T59" i="91"/>
  <c r="A37" i="63"/>
  <c r="A37" i="59"/>
  <c r="A22" i="59"/>
  <c r="A22" i="57"/>
  <c r="AA48" i="106"/>
  <c r="A22" i="61"/>
  <c r="B18" i="93"/>
  <c r="A37" i="55"/>
  <c r="A22" i="50"/>
  <c r="J20" i="94"/>
  <c r="A22" i="55"/>
  <c r="A61" i="61"/>
  <c r="A22" i="63"/>
  <c r="K56" i="32"/>
  <c r="K60" i="32" s="1"/>
  <c r="U110" i="73"/>
  <c r="A61" i="57"/>
  <c r="A61" i="50"/>
  <c r="AT37" i="32"/>
  <c r="K57" i="32"/>
  <c r="A61" i="55"/>
  <c r="A37" i="57"/>
  <c r="A61" i="59"/>
  <c r="G45" i="52"/>
  <c r="K54" i="32"/>
  <c r="A49" i="63"/>
  <c r="U98" i="73"/>
  <c r="K57" i="94"/>
  <c r="BY15" i="50"/>
  <c r="BY15" i="63"/>
  <c r="AU10" i="95" s="1"/>
  <c r="M12" i="61"/>
  <c r="N12" i="61" s="1"/>
  <c r="M12" i="55"/>
  <c r="N12" i="55" s="1"/>
  <c r="M12" i="59"/>
  <c r="N12" i="59" s="1"/>
  <c r="BY15" i="61"/>
  <c r="BY15" i="57"/>
  <c r="BY15" i="55"/>
  <c r="M12" i="50"/>
  <c r="N12" i="50" s="1"/>
  <c r="M12" i="57"/>
  <c r="N12" i="57" s="1"/>
  <c r="M12" i="63"/>
  <c r="N12" i="63" s="1"/>
  <c r="BY15" i="59"/>
  <c r="AU10" i="93" s="1"/>
  <c r="A57" i="63"/>
  <c r="A57" i="59"/>
  <c r="U106" i="73"/>
  <c r="A57" i="55"/>
  <c r="A57" i="50"/>
  <c r="A88" i="51"/>
  <c r="A57" i="57"/>
  <c r="A48" i="59"/>
  <c r="A48" i="57"/>
  <c r="A48" i="55"/>
  <c r="A48" i="50"/>
  <c r="U97" i="73"/>
  <c r="A44" i="63"/>
  <c r="U93" i="73"/>
  <c r="A44" i="57"/>
  <c r="A44" i="55"/>
  <c r="A44" i="50"/>
  <c r="A44" i="59"/>
  <c r="A44" i="61"/>
  <c r="A9" i="63"/>
  <c r="U63" i="73"/>
  <c r="A9" i="59"/>
  <c r="A58" i="61"/>
  <c r="U107" i="73"/>
  <c r="A58" i="55"/>
  <c r="A58" i="50"/>
  <c r="A58" i="57"/>
  <c r="A26" i="55"/>
  <c r="A26" i="63"/>
  <c r="A26" i="59"/>
  <c r="A26" i="61"/>
  <c r="U80" i="73"/>
  <c r="A26" i="57"/>
  <c r="A26" i="50"/>
  <c r="A46" i="61"/>
  <c r="U95" i="73"/>
  <c r="A67" i="55"/>
  <c r="U116" i="73"/>
  <c r="A56" i="63"/>
  <c r="A56" i="55"/>
  <c r="A56" i="50"/>
  <c r="U105" i="73"/>
  <c r="A87" i="51"/>
  <c r="A56" i="57"/>
  <c r="A56" i="61"/>
  <c r="A56" i="59"/>
  <c r="A19" i="61"/>
  <c r="U73" i="73"/>
  <c r="A19" i="57"/>
  <c r="A19" i="50"/>
  <c r="A19" i="55"/>
  <c r="A19" i="59"/>
  <c r="A46" i="50"/>
  <c r="A33" i="61"/>
  <c r="A33" i="57"/>
  <c r="A33" i="50"/>
  <c r="A33" i="55"/>
  <c r="A33" i="59"/>
  <c r="U87" i="73"/>
  <c r="J16" i="91"/>
  <c r="K54" i="91" a="1"/>
  <c r="A66" i="61"/>
  <c r="A66" i="59"/>
  <c r="A66" i="57"/>
  <c r="A66" i="50"/>
  <c r="A66" i="55"/>
  <c r="U115" i="73"/>
  <c r="A66" i="63"/>
  <c r="A32" i="61"/>
  <c r="A32" i="50"/>
  <c r="A32" i="55"/>
  <c r="A32" i="59"/>
  <c r="U86" i="73"/>
  <c r="A52" i="63"/>
  <c r="U101" i="73"/>
  <c r="A52" i="57"/>
  <c r="A52" i="59"/>
  <c r="A52" i="61"/>
  <c r="A52" i="55"/>
  <c r="A52" i="50"/>
  <c r="A3" i="57"/>
  <c r="A82" i="51"/>
  <c r="A3" i="63"/>
  <c r="U57" i="73"/>
  <c r="G40" i="52"/>
  <c r="A58" i="63"/>
  <c r="A51" i="63"/>
  <c r="A51" i="57"/>
  <c r="U100" i="73"/>
  <c r="A51" i="59"/>
  <c r="A51" i="61"/>
  <c r="A51" i="55"/>
  <c r="A51" i="50"/>
  <c r="A20" i="63"/>
  <c r="U74" i="73"/>
  <c r="A20" i="61"/>
  <c r="A20" i="57"/>
  <c r="A20" i="50"/>
  <c r="A20" i="55"/>
  <c r="A20" i="59"/>
  <c r="J16" i="95"/>
  <c r="K54" i="93" a="1"/>
  <c r="A58" i="59"/>
  <c r="A31" i="61"/>
  <c r="A31" i="57"/>
  <c r="A31" i="50"/>
  <c r="A31" i="55"/>
  <c r="A31" i="59"/>
  <c r="U85" i="73"/>
  <c r="A60" i="59"/>
  <c r="A90" i="51"/>
  <c r="A60" i="57"/>
  <c r="A60" i="55"/>
  <c r="A60" i="50"/>
  <c r="A60" i="63"/>
  <c r="U109" i="73"/>
  <c r="U88" i="73"/>
  <c r="A34" i="59"/>
  <c r="V1" i="63"/>
  <c r="W37" i="109"/>
  <c r="G58" i="52"/>
  <c r="A46" i="59"/>
  <c r="A36" i="59"/>
  <c r="A36" i="57"/>
  <c r="A36" i="50"/>
  <c r="A36" i="55"/>
  <c r="A36" i="61"/>
  <c r="A50" i="63"/>
  <c r="U99" i="73"/>
  <c r="A53" i="61"/>
  <c r="U102" i="73"/>
  <c r="A53" i="63"/>
  <c r="A53" i="57"/>
  <c r="A53" i="59"/>
  <c r="A53" i="55"/>
  <c r="A53" i="50"/>
  <c r="A13" i="63"/>
  <c r="A13" i="61"/>
  <c r="U67" i="73"/>
  <c r="A13" i="57"/>
  <c r="A13" i="50"/>
  <c r="A13" i="55"/>
  <c r="A13" i="59"/>
  <c r="A14" i="61"/>
  <c r="U68" i="73"/>
  <c r="A14" i="63"/>
  <c r="A14" i="57"/>
  <c r="A14" i="50"/>
  <c r="A14" i="55"/>
  <c r="A14" i="59"/>
  <c r="A6" i="63"/>
  <c r="A6" i="57"/>
  <c r="A6" i="50"/>
  <c r="A6" i="59"/>
  <c r="A6" i="55"/>
  <c r="U60" i="73"/>
  <c r="A6" i="61"/>
  <c r="G26" i="52"/>
  <c r="W3" i="96"/>
  <c r="Z7" i="96" s="1" a="1"/>
  <c r="A47" i="63"/>
  <c r="A47" i="55"/>
  <c r="A47" i="50"/>
  <c r="A27" i="59"/>
  <c r="A27" i="61"/>
  <c r="D62" i="52"/>
  <c r="G62" i="52"/>
  <c r="G13" i="52"/>
  <c r="D13" i="52"/>
  <c r="G63" i="52"/>
  <c r="D63" i="52"/>
  <c r="D17" i="52"/>
  <c r="G17" i="52"/>
  <c r="T59" i="93"/>
  <c r="G61" i="52"/>
  <c r="D61" i="52"/>
  <c r="G15" i="52"/>
  <c r="G14" i="52"/>
  <c r="D14" i="52"/>
  <c r="G55" i="52"/>
  <c r="D55" i="52"/>
  <c r="G3" i="52"/>
  <c r="G16" i="52"/>
  <c r="D16" i="52"/>
  <c r="G41" i="52"/>
  <c r="D41" i="52"/>
  <c r="G23" i="52"/>
  <c r="G60" i="52"/>
  <c r="D60" i="52"/>
  <c r="G24" i="52"/>
  <c r="D24" i="52"/>
  <c r="K56" i="95"/>
  <c r="K60" i="95" s="1"/>
  <c r="G28" i="52"/>
  <c r="D28" i="52"/>
  <c r="B18" i="95"/>
  <c r="G7" i="52"/>
  <c r="D7" i="52"/>
  <c r="G29" i="52"/>
  <c r="G30" i="52"/>
  <c r="D30" i="52"/>
  <c r="AG203" i="99"/>
  <c r="G38" i="52"/>
  <c r="D38" i="52"/>
  <c r="G5" i="52"/>
  <c r="D37" i="52"/>
  <c r="G37" i="52"/>
  <c r="G39" i="52"/>
  <c r="D39" i="52"/>
  <c r="V1" i="55"/>
  <c r="AT33" i="91" s="1"/>
  <c r="AJ43" i="91"/>
  <c r="AI43" i="91" s="1"/>
  <c r="G25" i="52"/>
  <c r="D4" i="52"/>
  <c r="G4" i="52"/>
  <c r="G54" i="52"/>
  <c r="D53" i="52"/>
  <c r="G53" i="52"/>
  <c r="T59" i="32"/>
  <c r="G2" i="52"/>
  <c r="G6" i="52"/>
  <c r="D6" i="52"/>
  <c r="D27" i="52"/>
  <c r="G27" i="52"/>
  <c r="D42" i="52"/>
  <c r="G42" i="52"/>
  <c r="A4" i="57"/>
  <c r="A4" i="63"/>
  <c r="A4" i="59"/>
  <c r="A4" i="55"/>
  <c r="A4" i="50"/>
  <c r="A85" i="51"/>
  <c r="U58" i="73"/>
  <c r="A4" i="61"/>
  <c r="A11" i="59"/>
  <c r="A11" i="63"/>
  <c r="A11" i="55"/>
  <c r="A11" i="50"/>
  <c r="A11" i="61"/>
  <c r="A11" i="57"/>
  <c r="Q67" i="55"/>
  <c r="Q67" i="57"/>
  <c r="Q67" i="59"/>
  <c r="U65" i="73"/>
  <c r="Q67" i="61"/>
  <c r="Q67" i="63"/>
  <c r="Q67" i="50"/>
  <c r="D10" i="52"/>
  <c r="G10" i="52"/>
  <c r="W203" i="99"/>
  <c r="J20" i="95"/>
  <c r="A10" i="63"/>
  <c r="A10" i="55"/>
  <c r="A10" i="50"/>
  <c r="A10" i="61"/>
  <c r="A10" i="57"/>
  <c r="AT13" i="93"/>
  <c r="AT13" i="95"/>
  <c r="AT13" i="94"/>
  <c r="AT13" i="32"/>
  <c r="M55" i="73"/>
  <c r="I55" i="73"/>
  <c r="AT13" i="91"/>
  <c r="A10" i="59"/>
  <c r="AT13" i="92"/>
  <c r="U64" i="73"/>
  <c r="E55" i="73"/>
  <c r="E48" i="73" s="1"/>
  <c r="B17" i="94"/>
  <c r="DP2" i="63"/>
  <c r="DP2" i="57"/>
  <c r="B19" i="95"/>
  <c r="BQ2" i="51"/>
  <c r="B17" i="95"/>
  <c r="DP2" i="61"/>
  <c r="DP2" i="55"/>
  <c r="DP2" i="59"/>
  <c r="DP2" i="50"/>
  <c r="B19" i="94"/>
  <c r="B17" i="91"/>
  <c r="B17" i="93"/>
  <c r="B14" i="94"/>
  <c r="B17" i="32"/>
  <c r="B17" i="92"/>
  <c r="B14" i="95"/>
  <c r="B14" i="91"/>
  <c r="B14" i="92"/>
  <c r="B19" i="32"/>
  <c r="B19" i="93"/>
  <c r="B19" i="91"/>
  <c r="B14" i="32"/>
  <c r="B14" i="93"/>
  <c r="B19" i="92"/>
  <c r="B20" i="93"/>
  <c r="AG131" i="99"/>
  <c r="J20" i="93"/>
  <c r="G33" i="52"/>
  <c r="D33" i="52"/>
  <c r="S10" i="95"/>
  <c r="AC192" i="99"/>
  <c r="AT17" i="95"/>
  <c r="A40" i="57"/>
  <c r="A40" i="59"/>
  <c r="A40" i="63"/>
  <c r="A40" i="55"/>
  <c r="A40" i="50"/>
  <c r="A40" i="61"/>
  <c r="AJ43" i="92"/>
  <c r="AI43" i="92" s="1"/>
  <c r="D47" i="52"/>
  <c r="G47" i="52"/>
  <c r="A68" i="50"/>
  <c r="A68" i="61"/>
  <c r="A68" i="57"/>
  <c r="A68" i="63"/>
  <c r="A68" i="59"/>
  <c r="A68" i="55"/>
  <c r="U117" i="73"/>
  <c r="A12" i="59"/>
  <c r="A12" i="55"/>
  <c r="A12" i="63"/>
  <c r="A12" i="50"/>
  <c r="A12" i="61"/>
  <c r="A12" i="57"/>
  <c r="U66" i="73"/>
  <c r="G35" i="52"/>
  <c r="D35" i="52"/>
  <c r="AU10" i="94"/>
  <c r="AA52" i="106"/>
  <c r="AA53" i="106"/>
  <c r="AA51" i="106"/>
  <c r="AA59" i="106" s="1"/>
  <c r="A17" i="57"/>
  <c r="A17" i="63"/>
  <c r="A17" i="59"/>
  <c r="A17" i="55"/>
  <c r="U71" i="73"/>
  <c r="A17" i="61"/>
  <c r="A17" i="50"/>
  <c r="A18" i="61"/>
  <c r="A18" i="57"/>
  <c r="A18" i="63"/>
  <c r="A18" i="59"/>
  <c r="A18" i="55"/>
  <c r="U72" i="73"/>
  <c r="A18" i="50"/>
  <c r="A64" i="57"/>
  <c r="F19" i="59"/>
  <c r="F19" i="50"/>
  <c r="F19" i="63"/>
  <c r="A64" i="63"/>
  <c r="A64" i="59"/>
  <c r="A64" i="50"/>
  <c r="A64" i="55"/>
  <c r="F19" i="61"/>
  <c r="A64" i="61"/>
  <c r="F19" i="57"/>
  <c r="U113" i="73"/>
  <c r="F19" i="55"/>
  <c r="AJ43" i="93"/>
  <c r="AI43" i="93" s="1"/>
  <c r="G48" i="52"/>
  <c r="D48" i="52"/>
  <c r="A23" i="59"/>
  <c r="A23" i="63"/>
  <c r="A23" i="55"/>
  <c r="A23" i="50"/>
  <c r="A23" i="61"/>
  <c r="A23" i="57"/>
  <c r="U77" i="73"/>
  <c r="A24" i="59"/>
  <c r="A24" i="55"/>
  <c r="A24" i="63"/>
  <c r="A24" i="50"/>
  <c r="A24" i="61"/>
  <c r="A24" i="57"/>
  <c r="U78" i="73"/>
  <c r="A42" i="61"/>
  <c r="A42" i="57"/>
  <c r="A42" i="50"/>
  <c r="A42" i="59"/>
  <c r="A42" i="63"/>
  <c r="A42" i="55"/>
  <c r="C83" i="53"/>
  <c r="U91" i="73"/>
  <c r="AJ43" i="94"/>
  <c r="AI43" i="94" s="1"/>
  <c r="G36" i="52"/>
  <c r="D36" i="52"/>
  <c r="A29" i="57"/>
  <c r="A29" i="63"/>
  <c r="A29" i="59"/>
  <c r="A29" i="55"/>
  <c r="U83" i="73"/>
  <c r="A29" i="50"/>
  <c r="A29" i="61"/>
  <c r="A30" i="61"/>
  <c r="A30" i="57"/>
  <c r="A30" i="63"/>
  <c r="A30" i="59"/>
  <c r="A30" i="55"/>
  <c r="U84" i="73"/>
  <c r="A30" i="50"/>
  <c r="DP3" i="63"/>
  <c r="DP3" i="57"/>
  <c r="BR2" i="51"/>
  <c r="DP3" i="61"/>
  <c r="DP3" i="55"/>
  <c r="AC200" i="99"/>
  <c r="AC164" i="99"/>
  <c r="AC128" i="99"/>
  <c r="DP3" i="59"/>
  <c r="AC20" i="99"/>
  <c r="AC56" i="99"/>
  <c r="DP3" i="50"/>
  <c r="AC92" i="99"/>
  <c r="F18" i="50"/>
  <c r="F18" i="63"/>
  <c r="A63" i="63"/>
  <c r="A63" i="59"/>
  <c r="A63" i="55"/>
  <c r="F18" i="61"/>
  <c r="A63" i="50"/>
  <c r="A63" i="61"/>
  <c r="A63" i="57"/>
  <c r="F18" i="55"/>
  <c r="AT8" i="91"/>
  <c r="AY2" i="91" s="1"/>
  <c r="F18" i="59"/>
  <c r="F18" i="57"/>
  <c r="AT9" i="95"/>
  <c r="AW2" i="94"/>
  <c r="AW2" i="91"/>
  <c r="AT8" i="95"/>
  <c r="AY2" i="95" s="1"/>
  <c r="AT9" i="32"/>
  <c r="AW2" i="32"/>
  <c r="AT8" i="92"/>
  <c r="AY2" i="92" s="1"/>
  <c r="AT9" i="93"/>
  <c r="AW2" i="92"/>
  <c r="AT8" i="93"/>
  <c r="AY2" i="93" s="1"/>
  <c r="AW2" i="95"/>
  <c r="AT9" i="94"/>
  <c r="AW2" i="93"/>
  <c r="U112" i="73"/>
  <c r="AT9" i="91"/>
  <c r="AT8" i="32"/>
  <c r="AY2" i="32" s="1"/>
  <c r="AT8" i="94"/>
  <c r="AY2" i="94" s="1"/>
  <c r="AT9" i="92"/>
  <c r="AJ43" i="32"/>
  <c r="AI43" i="32" s="1"/>
  <c r="AJ43" i="95"/>
  <c r="AI43" i="95" s="1"/>
  <c r="G18" i="52"/>
  <c r="D18" i="52"/>
  <c r="V1" i="59"/>
  <c r="AD58" i="106"/>
  <c r="G9" i="52"/>
  <c r="D9" i="52"/>
  <c r="A35" i="59"/>
  <c r="A35" i="63"/>
  <c r="A35" i="55"/>
  <c r="A35" i="50"/>
  <c r="A35" i="61"/>
  <c r="A35" i="57"/>
  <c r="U89" i="73"/>
  <c r="A7" i="50"/>
  <c r="A7" i="61"/>
  <c r="A7" i="57"/>
  <c r="A7" i="63"/>
  <c r="A7" i="59"/>
  <c r="U61" i="73"/>
  <c r="A7" i="55"/>
  <c r="A83" i="51"/>
  <c r="A65" i="57"/>
  <c r="A65" i="63"/>
  <c r="A65" i="59"/>
  <c r="A65" i="50"/>
  <c r="A65" i="55"/>
  <c r="A65" i="61"/>
  <c r="U114" i="73"/>
  <c r="D49" i="52"/>
  <c r="G49" i="52"/>
  <c r="T59" i="94"/>
  <c r="A39" i="59"/>
  <c r="A39" i="63"/>
  <c r="A39" i="55"/>
  <c r="A39" i="50"/>
  <c r="A39" i="61"/>
  <c r="A39" i="57"/>
  <c r="G19" i="52"/>
  <c r="D19" i="52"/>
  <c r="V1" i="61"/>
  <c r="T56" i="92"/>
  <c r="T59" i="92" s="1"/>
  <c r="V1" i="57"/>
  <c r="AQ35" i="95"/>
  <c r="AT33" i="95"/>
  <c r="AC205" i="99"/>
  <c r="J20" i="91"/>
  <c r="B20" i="91"/>
  <c r="AG59" i="99"/>
  <c r="W59" i="99"/>
  <c r="V1" i="50"/>
  <c r="W131" i="99"/>
  <c r="AU10" i="92" l="1"/>
  <c r="AU24" i="95"/>
  <c r="AU17" i="95"/>
  <c r="K58" i="92"/>
  <c r="V37" i="109"/>
  <c r="K54" i="92"/>
  <c r="AU24" i="93"/>
  <c r="K56" i="92"/>
  <c r="K60" i="92" s="1"/>
  <c r="K54" i="94"/>
  <c r="AG95" i="99"/>
  <c r="K57" i="92"/>
  <c r="W167" i="99"/>
  <c r="Z62" i="109"/>
  <c r="M48" i="73"/>
  <c r="J20" i="92"/>
  <c r="K54" i="95"/>
  <c r="K55" i="95"/>
  <c r="K57" i="95"/>
  <c r="AU25" i="93"/>
  <c r="AU25" i="32"/>
  <c r="J20" i="32"/>
  <c r="AU23" i="91"/>
  <c r="AU17" i="91" s="1"/>
  <c r="Z37" i="109"/>
  <c r="K55" i="94"/>
  <c r="Z46" i="109"/>
  <c r="Z54" i="109" s="1"/>
  <c r="Z55" i="109" s="1"/>
  <c r="Z57" i="109" s="1"/>
  <c r="Z58" i="109" s="1"/>
  <c r="AU23" i="92"/>
  <c r="AU17" i="92" s="1"/>
  <c r="B20" i="95"/>
  <c r="AU24" i="32"/>
  <c r="AU17" i="32"/>
  <c r="AU25" i="94"/>
  <c r="AU23" i="94"/>
  <c r="W23" i="99"/>
  <c r="V58" i="109"/>
  <c r="V59" i="109" s="1"/>
  <c r="Z60" i="109" s="1"/>
  <c r="B20" i="32"/>
  <c r="I48" i="73"/>
  <c r="B20" i="92"/>
  <c r="AU25" i="92"/>
  <c r="AD24" i="107"/>
  <c r="AD25" i="107" s="1"/>
  <c r="AD30" i="107" s="1"/>
  <c r="U9" i="96"/>
  <c r="U10" i="96"/>
  <c r="K58" i="94"/>
  <c r="AU10" i="91"/>
  <c r="AT17" i="91" s="1"/>
  <c r="V35" i="109"/>
  <c r="V34" i="109"/>
  <c r="AT35" i="91"/>
  <c r="AU10" i="32"/>
  <c r="AC12" i="99" s="1" a="1"/>
  <c r="AC12" i="99" s="1"/>
  <c r="AC58" i="106"/>
  <c r="AC52" i="106"/>
  <c r="AC53" i="106"/>
  <c r="AC24" i="107"/>
  <c r="AC25" i="107" s="1"/>
  <c r="AC30" i="107" s="1"/>
  <c r="W85" i="109"/>
  <c r="W86" i="109" s="1"/>
  <c r="W87" i="109" s="1"/>
  <c r="V85" i="109"/>
  <c r="V86" i="109" s="1"/>
  <c r="V87" i="109" s="1"/>
  <c r="AA54" i="106"/>
  <c r="AA56" i="106" s="1"/>
  <c r="AC48" i="106"/>
  <c r="AA49" i="106"/>
  <c r="K57" i="91"/>
  <c r="K55" i="91"/>
  <c r="K58" i="91"/>
  <c r="K54" i="91"/>
  <c r="K56" i="91"/>
  <c r="K60" i="91" s="1"/>
  <c r="AC120" i="99"/>
  <c r="AT17" i="93"/>
  <c r="S10" i="93"/>
  <c r="AC61" i="99"/>
  <c r="J68" i="95"/>
  <c r="S10" i="92"/>
  <c r="AC84" i="99"/>
  <c r="AT17" i="92"/>
  <c r="K58" i="93"/>
  <c r="K56" i="93"/>
  <c r="K60" i="93" s="1"/>
  <c r="K55" i="93"/>
  <c r="K57" i="93"/>
  <c r="K54" i="93"/>
  <c r="AE58" i="106"/>
  <c r="AB4" i="94"/>
  <c r="B9" i="93"/>
  <c r="J67" i="94"/>
  <c r="P82" i="94" a="1"/>
  <c r="P82" i="94" s="1"/>
  <c r="J70" i="95"/>
  <c r="AB4" i="91"/>
  <c r="J71" i="95"/>
  <c r="B36" i="93" a="1"/>
  <c r="B36" i="93" s="1"/>
  <c r="J68" i="91"/>
  <c r="S8" i="95"/>
  <c r="I41" i="73"/>
  <c r="K41" i="73" s="1"/>
  <c r="M41" i="73"/>
  <c r="O41" i="73" s="1"/>
  <c r="P82" i="93" a="1"/>
  <c r="P82" i="93" s="1"/>
  <c r="AB4" i="93"/>
  <c r="L33" i="93"/>
  <c r="L33" i="95"/>
  <c r="L30" i="95"/>
  <c r="L33" i="94"/>
  <c r="L33" i="92"/>
  <c r="J68" i="92"/>
  <c r="J70" i="91"/>
  <c r="J68" i="93"/>
  <c r="AE7" i="52"/>
  <c r="R1" i="59"/>
  <c r="S1" i="59" s="1"/>
  <c r="B36" i="32" a="1"/>
  <c r="B36" i="32" s="1"/>
  <c r="R1" i="50"/>
  <c r="S1" i="50" s="1"/>
  <c r="B9" i="92"/>
  <c r="AB4" i="92"/>
  <c r="R1" i="57"/>
  <c r="S1" i="57" s="1"/>
  <c r="AU7" i="92"/>
  <c r="AX3" i="92"/>
  <c r="AY3" i="92" s="1"/>
  <c r="AX2" i="92"/>
  <c r="AZ2" i="92" s="1"/>
  <c r="BA2" i="92" s="1"/>
  <c r="P82" i="91" a="1"/>
  <c r="P82" i="91" s="1"/>
  <c r="AE5" i="52"/>
  <c r="J66" i="92"/>
  <c r="J65" i="32"/>
  <c r="J71" i="92"/>
  <c r="AU7" i="93"/>
  <c r="AU7" i="32"/>
  <c r="AB4" i="32"/>
  <c r="AT35" i="94"/>
  <c r="AT33" i="94"/>
  <c r="AC169" i="99"/>
  <c r="AE4" i="52"/>
  <c r="J70" i="93"/>
  <c r="J67" i="91"/>
  <c r="AE3" i="52"/>
  <c r="B9" i="91"/>
  <c r="L36" i="92" a="1"/>
  <c r="B36" i="91" a="1"/>
  <c r="B36" i="91" s="1"/>
  <c r="B36" i="95" a="1"/>
  <c r="B36" i="95" s="1"/>
  <c r="J69" i="32"/>
  <c r="J67" i="32"/>
  <c r="J67" i="93"/>
  <c r="J68" i="94"/>
  <c r="AA58" i="106"/>
  <c r="AU7" i="91"/>
  <c r="AU9" i="32"/>
  <c r="T36" i="32" s="1" a="1"/>
  <c r="B36" i="94" a="1"/>
  <c r="B36" i="94" s="1"/>
  <c r="L33" i="91"/>
  <c r="AX2" i="32"/>
  <c r="AZ2" i="32" s="1"/>
  <c r="BA2" i="32" s="1"/>
  <c r="AX3" i="32"/>
  <c r="AY3" i="32" s="1"/>
  <c r="J71" i="91"/>
  <c r="J69" i="91"/>
  <c r="J66" i="94"/>
  <c r="J69" i="95"/>
  <c r="R1" i="55"/>
  <c r="S1" i="55" s="1"/>
  <c r="AU9" i="93"/>
  <c r="L36" i="94" a="1"/>
  <c r="B9" i="32"/>
  <c r="AT35" i="93"/>
  <c r="AT33" i="93"/>
  <c r="AC133" i="99"/>
  <c r="R1" i="61"/>
  <c r="S1" i="61" s="1"/>
  <c r="J69" i="92"/>
  <c r="J67" i="92"/>
  <c r="J65" i="92"/>
  <c r="J67" i="95"/>
  <c r="J70" i="92"/>
  <c r="S8" i="93"/>
  <c r="AU9" i="91"/>
  <c r="T36" i="91" s="1" a="1"/>
  <c r="L36" i="91" a="1"/>
  <c r="AG43" i="73"/>
  <c r="AG44" i="73"/>
  <c r="AG42" i="73"/>
  <c r="B36" i="92" a="1"/>
  <c r="B36" i="92" s="1"/>
  <c r="B9" i="94"/>
  <c r="AE1" i="52"/>
  <c r="J71" i="93"/>
  <c r="J69" i="93"/>
  <c r="J66" i="91"/>
  <c r="S8" i="94"/>
  <c r="AC156" i="99"/>
  <c r="AT17" i="94"/>
  <c r="S10" i="94"/>
  <c r="AU9" i="94"/>
  <c r="L36" i="95" a="1"/>
  <c r="E57" i="73" a="1"/>
  <c r="AU9" i="95"/>
  <c r="AU7" i="94"/>
  <c r="AX3" i="91"/>
  <c r="AY3" i="91" s="1"/>
  <c r="AX2" i="91"/>
  <c r="AZ2" i="91" s="1"/>
  <c r="BA2" i="91" s="1"/>
  <c r="J71" i="32"/>
  <c r="AE8" i="52"/>
  <c r="J66" i="32"/>
  <c r="J66" i="93"/>
  <c r="E41" i="73"/>
  <c r="G41" i="73" s="1"/>
  <c r="AX3" i="94"/>
  <c r="AY3" i="94" s="1"/>
  <c r="AX2" i="94"/>
  <c r="AZ2" i="94" s="1"/>
  <c r="BA2" i="94" s="1"/>
  <c r="AE2" i="52"/>
  <c r="J68" i="32"/>
  <c r="J65" i="94"/>
  <c r="J65" i="91"/>
  <c r="AB29" i="94"/>
  <c r="AB29" i="95"/>
  <c r="O65" i="32" a="1"/>
  <c r="O65" i="32" s="1"/>
  <c r="L38" i="92" a="1"/>
  <c r="L38" i="32" a="1"/>
  <c r="L38" i="95" a="1"/>
  <c r="O65" i="95" a="1"/>
  <c r="O65" i="95" s="1"/>
  <c r="AB29" i="91"/>
  <c r="AB29" i="32"/>
  <c r="B16" i="93"/>
  <c r="L38" i="93" a="1"/>
  <c r="AB29" i="93"/>
  <c r="AB29" i="92"/>
  <c r="L38" i="94" a="1"/>
  <c r="O65" i="93" a="1"/>
  <c r="O65" i="93" s="1"/>
  <c r="O65" i="91" a="1"/>
  <c r="O65" i="91" s="1"/>
  <c r="L38" i="91" a="1"/>
  <c r="B16" i="91"/>
  <c r="B16" i="32"/>
  <c r="O65" i="94" a="1"/>
  <c r="O65" i="94" s="1"/>
  <c r="B16" i="92"/>
  <c r="B16" i="94"/>
  <c r="O65" i="92" a="1"/>
  <c r="O65" i="92" s="1"/>
  <c r="B16" i="95"/>
  <c r="L36" i="93" a="1"/>
  <c r="I57" i="73" a="1"/>
  <c r="AT35" i="92"/>
  <c r="AT33" i="92"/>
  <c r="AC97" i="99"/>
  <c r="AX2" i="95"/>
  <c r="AZ2" i="95" s="1"/>
  <c r="BA2" i="95" s="1"/>
  <c r="AX3" i="95"/>
  <c r="AY3" i="95" s="1"/>
  <c r="L36" i="32" a="1"/>
  <c r="AC25" i="99"/>
  <c r="AT33" i="32"/>
  <c r="AT35" i="32"/>
  <c r="AX2" i="93"/>
  <c r="AZ2" i="93" s="1"/>
  <c r="BA2" i="93" s="1"/>
  <c r="AX3" i="93"/>
  <c r="AY3" i="93" s="1"/>
  <c r="P82" i="95" a="1"/>
  <c r="P82" i="95" s="1"/>
  <c r="AU19" i="95"/>
  <c r="AU19" i="94"/>
  <c r="AU19" i="32"/>
  <c r="AU19" i="93"/>
  <c r="AU19" i="91"/>
  <c r="AU19" i="92"/>
  <c r="J70" i="32"/>
  <c r="J70" i="94"/>
  <c r="J71" i="94"/>
  <c r="J65" i="93"/>
  <c r="M57" i="73" a="1"/>
  <c r="L33" i="32"/>
  <c r="Z42" i="96"/>
  <c r="Z21" i="96"/>
  <c r="Z53" i="96"/>
  <c r="Z48" i="96"/>
  <c r="Z61" i="96"/>
  <c r="Z40" i="96"/>
  <c r="Z11" i="96"/>
  <c r="Z14" i="96"/>
  <c r="Z44" i="96"/>
  <c r="Z23" i="96"/>
  <c r="Z12" i="96"/>
  <c r="Z18" i="96"/>
  <c r="Z63" i="96"/>
  <c r="Z16" i="96"/>
  <c r="Z26" i="96"/>
  <c r="Z35" i="96"/>
  <c r="Z30" i="96"/>
  <c r="Z17" i="96"/>
  <c r="Z57" i="96"/>
  <c r="Z56" i="96"/>
  <c r="Z62" i="96"/>
  <c r="Z41" i="96"/>
  <c r="Z45" i="96"/>
  <c r="Z29" i="96"/>
  <c r="Z25" i="96"/>
  <c r="Z10" i="96"/>
  <c r="Z54" i="96"/>
  <c r="Z60" i="96"/>
  <c r="Z50" i="96"/>
  <c r="Z31" i="96"/>
  <c r="Z49" i="96"/>
  <c r="Z36" i="96"/>
  <c r="Z33" i="96"/>
  <c r="Z52" i="96"/>
  <c r="Z19" i="96"/>
  <c r="Z39" i="96"/>
  <c r="Z47" i="96"/>
  <c r="Z20" i="96"/>
  <c r="Z9" i="96"/>
  <c r="Z46" i="96"/>
  <c r="Z59" i="96"/>
  <c r="Z7" i="96"/>
  <c r="Z27" i="96"/>
  <c r="Z28" i="96"/>
  <c r="Z37" i="96"/>
  <c r="Z55" i="96"/>
  <c r="Z24" i="96"/>
  <c r="Z15" i="96"/>
  <c r="Z64" i="96"/>
  <c r="Z34" i="96"/>
  <c r="Z43" i="96"/>
  <c r="Z51" i="96"/>
  <c r="Z22" i="96"/>
  <c r="Z8" i="96"/>
  <c r="Z32" i="96"/>
  <c r="Z58" i="96"/>
  <c r="Z13" i="96"/>
  <c r="Z38" i="96"/>
  <c r="P82" i="92" a="1"/>
  <c r="P82" i="92" s="1"/>
  <c r="P82" i="32" a="1"/>
  <c r="P82" i="32" s="1"/>
  <c r="J69" i="94"/>
  <c r="J65" i="95"/>
  <c r="J66" i="95"/>
  <c r="S8" i="92"/>
  <c r="AU9" i="92"/>
  <c r="B9" i="95"/>
  <c r="R1" i="63"/>
  <c r="S1" i="63" s="1"/>
  <c r="AB4" i="95"/>
  <c r="AU7" i="95"/>
  <c r="AD54" i="93" a="1"/>
  <c r="AD54" i="92" a="1"/>
  <c r="AD54" i="91" a="1"/>
  <c r="AD54" i="94" a="1"/>
  <c r="AD54" i="32" a="1"/>
  <c r="AD54" i="95" a="1"/>
  <c r="V19" i="96" l="1"/>
  <c r="M32" i="96" s="1"/>
  <c r="AC48" i="99"/>
  <c r="AL39" i="73"/>
  <c r="S8" i="91"/>
  <c r="W89" i="109"/>
  <c r="AG58" i="106"/>
  <c r="AT17" i="32"/>
  <c r="L30" i="94"/>
  <c r="AU24" i="92"/>
  <c r="S10" i="91"/>
  <c r="AU24" i="91"/>
  <c r="AC13" i="99"/>
  <c r="S10" i="32"/>
  <c r="AU17" i="94"/>
  <c r="AU24" i="94"/>
  <c r="AD31" i="107"/>
  <c r="AJ13" i="99"/>
  <c r="S8" i="32"/>
  <c r="AD54" i="95"/>
  <c r="AD54" i="94"/>
  <c r="AD54" i="93"/>
  <c r="AD54" i="92"/>
  <c r="AD54" i="91"/>
  <c r="L30" i="92"/>
  <c r="AD48" i="106"/>
  <c r="AE48" i="106" s="1"/>
  <c r="AC56" i="106"/>
  <c r="AC49" i="106"/>
  <c r="AC55" i="106" s="1"/>
  <c r="AA70" i="106" s="1"/>
  <c r="AD54" i="32"/>
  <c r="AT11" i="91"/>
  <c r="L30" i="91" s="1"/>
  <c r="L30" i="32"/>
  <c r="L30" i="93"/>
  <c r="P1" i="63" a="1"/>
  <c r="P1" i="63" s="1"/>
  <c r="L36" i="93"/>
  <c r="M36" i="93"/>
  <c r="L36" i="91"/>
  <c r="M36" i="91"/>
  <c r="W57" i="99"/>
  <c r="AC51" i="99"/>
  <c r="W56" i="99" s="1"/>
  <c r="W93" i="99"/>
  <c r="AC87" i="99"/>
  <c r="W92" i="99" s="1"/>
  <c r="T36" i="92" a="1"/>
  <c r="L38" i="93"/>
  <c r="M38" i="93" s="1"/>
  <c r="L42" i="93"/>
  <c r="L41" i="93"/>
  <c r="L40" i="93"/>
  <c r="L39" i="93"/>
  <c r="AB23" i="57"/>
  <c r="DN4" i="57"/>
  <c r="AZ21" i="92"/>
  <c r="AY21" i="92"/>
  <c r="S18" i="92"/>
  <c r="DN3" i="57"/>
  <c r="AV7" i="92"/>
  <c r="T36" i="91"/>
  <c r="T42" i="91"/>
  <c r="T41" i="91"/>
  <c r="T44" i="91"/>
  <c r="T38" i="91"/>
  <c r="T40" i="91"/>
  <c r="T43" i="91"/>
  <c r="T37" i="91"/>
  <c r="T39" i="91"/>
  <c r="DN3" i="61"/>
  <c r="AB23" i="61"/>
  <c r="AV7" i="94"/>
  <c r="S18" i="94"/>
  <c r="AZ21" i="94"/>
  <c r="DN4" i="61"/>
  <c r="AY21" i="94"/>
  <c r="L36" i="94"/>
  <c r="M36" i="94"/>
  <c r="P1" i="57" a="1"/>
  <c r="P1" i="57" s="1"/>
  <c r="T43" i="32"/>
  <c r="T36" i="32"/>
  <c r="T44" i="32"/>
  <c r="T42" i="32"/>
  <c r="T40" i="32"/>
  <c r="T41" i="32"/>
  <c r="T39" i="32"/>
  <c r="T37" i="32"/>
  <c r="T38" i="32"/>
  <c r="W201" i="99"/>
  <c r="AC195" i="99"/>
  <c r="W200" i="99" s="1"/>
  <c r="T36" i="95" a="1"/>
  <c r="W129" i="99"/>
  <c r="AC123" i="99"/>
  <c r="W128" i="99" s="1"/>
  <c r="T36" i="93" a="1"/>
  <c r="L36" i="32"/>
  <c r="M36" i="32"/>
  <c r="E58" i="73"/>
  <c r="E98" i="73"/>
  <c r="E61" i="73"/>
  <c r="E96" i="73"/>
  <c r="E87" i="73"/>
  <c r="E78" i="73"/>
  <c r="E99" i="73"/>
  <c r="E86" i="73"/>
  <c r="E84" i="73"/>
  <c r="E94" i="73"/>
  <c r="E63" i="73"/>
  <c r="E93" i="73"/>
  <c r="E74" i="73"/>
  <c r="E72" i="73"/>
  <c r="E95" i="73"/>
  <c r="E82" i="73"/>
  <c r="E92" i="73"/>
  <c r="E81" i="73"/>
  <c r="E89" i="73"/>
  <c r="E62" i="73"/>
  <c r="E60" i="73"/>
  <c r="E83" i="73"/>
  <c r="E70" i="73"/>
  <c r="E90" i="73"/>
  <c r="E80" i="73"/>
  <c r="E69" i="73"/>
  <c r="E77" i="73"/>
  <c r="E71" i="73"/>
  <c r="E75" i="73"/>
  <c r="E67" i="73"/>
  <c r="E57" i="73"/>
  <c r="E65" i="73"/>
  <c r="E59" i="73"/>
  <c r="E68" i="73"/>
  <c r="E100" i="73"/>
  <c r="E88" i="73"/>
  <c r="E79" i="73"/>
  <c r="E73" i="73"/>
  <c r="E66" i="73"/>
  <c r="E91" i="73"/>
  <c r="E76" i="73"/>
  <c r="E97" i="73"/>
  <c r="E64" i="73"/>
  <c r="E85" i="73"/>
  <c r="P1" i="55" a="1"/>
  <c r="P1" i="55" s="1"/>
  <c r="DN4" i="50"/>
  <c r="AZ21" i="32"/>
  <c r="AV7" i="32"/>
  <c r="AY21" i="32"/>
  <c r="AB23" i="50"/>
  <c r="DN3" i="50"/>
  <c r="S18" i="32"/>
  <c r="L36" i="95"/>
  <c r="M36" i="95"/>
  <c r="L36" i="92"/>
  <c r="M36" i="92"/>
  <c r="AB23" i="59"/>
  <c r="DN4" i="59"/>
  <c r="DN3" i="59"/>
  <c r="AZ21" i="93"/>
  <c r="AV7" i="93"/>
  <c r="AY21" i="93"/>
  <c r="S18" i="93"/>
  <c r="P1" i="50" a="1"/>
  <c r="P1" i="50" s="1"/>
  <c r="W21" i="99"/>
  <c r="AC15" i="99"/>
  <c r="W20" i="99" s="1"/>
  <c r="I67" i="73"/>
  <c r="I64" i="73"/>
  <c r="I80" i="73"/>
  <c r="I96" i="73"/>
  <c r="I85" i="73"/>
  <c r="I68" i="73"/>
  <c r="I72" i="73"/>
  <c r="I73" i="73"/>
  <c r="I94" i="73"/>
  <c r="I63" i="73"/>
  <c r="I89" i="73"/>
  <c r="I61" i="73"/>
  <c r="I82" i="73"/>
  <c r="I65" i="73"/>
  <c r="I70" i="73"/>
  <c r="I58" i="73"/>
  <c r="I93" i="73"/>
  <c r="I91" i="73"/>
  <c r="I77" i="73"/>
  <c r="I99" i="73"/>
  <c r="I95" i="73"/>
  <c r="I81" i="73"/>
  <c r="I79" i="73"/>
  <c r="I87" i="73"/>
  <c r="I84" i="73"/>
  <c r="I75" i="73"/>
  <c r="I71" i="73"/>
  <c r="I90" i="73"/>
  <c r="I98" i="73"/>
  <c r="I69" i="73"/>
  <c r="I76" i="73"/>
  <c r="I60" i="73"/>
  <c r="I78" i="73"/>
  <c r="I86" i="73"/>
  <c r="I57" i="73"/>
  <c r="I66" i="73"/>
  <c r="I74" i="73"/>
  <c r="I92" i="73"/>
  <c r="I62" i="73"/>
  <c r="I97" i="73"/>
  <c r="I88" i="73"/>
  <c r="I83" i="73"/>
  <c r="I100" i="73"/>
  <c r="I59" i="73"/>
  <c r="L38" i="91"/>
  <c r="M38" i="91" s="1"/>
  <c r="L42" i="91"/>
  <c r="L41" i="91"/>
  <c r="L40" i="91"/>
  <c r="L39" i="91"/>
  <c r="L42" i="32"/>
  <c r="L39" i="32"/>
  <c r="L40" i="32"/>
  <c r="L38" i="32"/>
  <c r="M38" i="32" s="1"/>
  <c r="L41" i="32"/>
  <c r="AZ21" i="91"/>
  <c r="AB23" i="55"/>
  <c r="AY21" i="91"/>
  <c r="DN4" i="55"/>
  <c r="DN3" i="55"/>
  <c r="S18" i="91"/>
  <c r="AV7" i="91"/>
  <c r="P1" i="59" a="1"/>
  <c r="P1" i="59" s="1"/>
  <c r="L38" i="95"/>
  <c r="M38" i="95" s="1"/>
  <c r="L42" i="95"/>
  <c r="L41" i="95"/>
  <c r="L40" i="95"/>
  <c r="L39" i="95"/>
  <c r="W165" i="99"/>
  <c r="AC159" i="99"/>
  <c r="W164" i="99" s="1"/>
  <c r="T36" i="94" a="1"/>
  <c r="L38" i="92"/>
  <c r="M38" i="92" s="1"/>
  <c r="L42" i="92"/>
  <c r="L41" i="92"/>
  <c r="L40" i="92"/>
  <c r="L39" i="92"/>
  <c r="L42" i="94"/>
  <c r="L41" i="94"/>
  <c r="L40" i="94"/>
  <c r="L39" i="94"/>
  <c r="L38" i="94"/>
  <c r="M38" i="94" s="1"/>
  <c r="DN3" i="63"/>
  <c r="AB23" i="63"/>
  <c r="AV7" i="95"/>
  <c r="S18" i="95"/>
  <c r="DN4" i="63"/>
  <c r="AZ21" i="95"/>
  <c r="AY21" i="95"/>
  <c r="M64" i="73"/>
  <c r="M73" i="73"/>
  <c r="M97" i="73"/>
  <c r="M63" i="73"/>
  <c r="M71" i="73"/>
  <c r="M68" i="73"/>
  <c r="M59" i="73"/>
  <c r="M93" i="73"/>
  <c r="M75" i="73"/>
  <c r="M72" i="73"/>
  <c r="M60" i="73"/>
  <c r="M94" i="73"/>
  <c r="M83" i="73"/>
  <c r="M86" i="73"/>
  <c r="M85" i="73"/>
  <c r="M82" i="73"/>
  <c r="M70" i="73"/>
  <c r="M91" i="73"/>
  <c r="M84" i="73"/>
  <c r="M98" i="73"/>
  <c r="M74" i="73"/>
  <c r="M58" i="73"/>
  <c r="M79" i="73"/>
  <c r="M89" i="73"/>
  <c r="M100" i="73"/>
  <c r="M69" i="73"/>
  <c r="M96" i="73"/>
  <c r="M92" i="73"/>
  <c r="M62" i="73"/>
  <c r="M67" i="73"/>
  <c r="M77" i="73"/>
  <c r="M88" i="73"/>
  <c r="M81" i="73"/>
  <c r="M80" i="73"/>
  <c r="M61" i="73"/>
  <c r="M57" i="73"/>
  <c r="M90" i="73"/>
  <c r="M65" i="73"/>
  <c r="M76" i="73"/>
  <c r="M99" i="73"/>
  <c r="M78" i="73"/>
  <c r="M87" i="73"/>
  <c r="M95" i="73"/>
  <c r="M66" i="73"/>
  <c r="P1" i="61" a="1"/>
  <c r="P1" i="61" s="1"/>
  <c r="AD72" i="106" l="1"/>
  <c r="AA72" i="106" s="1"/>
  <c r="AD71" i="106"/>
  <c r="AA71" i="106" s="1"/>
  <c r="Z70" i="106"/>
  <c r="P36" i="93" a="1"/>
  <c r="P36" i="93" s="1"/>
  <c r="P36" i="91" a="1"/>
  <c r="P36" i="91" s="1"/>
  <c r="P36" i="92" a="1"/>
  <c r="P36" i="92" s="1"/>
  <c r="P36" i="94" a="1"/>
  <c r="P36" i="94" s="1"/>
  <c r="AH5" i="71"/>
  <c r="AD42" i="92"/>
  <c r="T48" i="92" s="1"/>
  <c r="AD44" i="92"/>
  <c r="T39" i="93"/>
  <c r="T41" i="93"/>
  <c r="T36" i="93"/>
  <c r="T38" i="93"/>
  <c r="T43" i="93"/>
  <c r="T37" i="93"/>
  <c r="T44" i="93"/>
  <c r="T42" i="93"/>
  <c r="T40" i="93"/>
  <c r="AD44" i="91"/>
  <c r="AD42" i="91"/>
  <c r="T48" i="91" s="1"/>
  <c r="T36" i="95"/>
  <c r="T38" i="95"/>
  <c r="T42" i="95"/>
  <c r="T44" i="95"/>
  <c r="T40" i="95"/>
  <c r="T37" i="95"/>
  <c r="T41" i="95"/>
  <c r="T43" i="95"/>
  <c r="T39" i="95"/>
  <c r="AD42" i="32"/>
  <c r="T48" i="32" s="1"/>
  <c r="AD44" i="32"/>
  <c r="AD42" i="94"/>
  <c r="T48" i="94" s="1"/>
  <c r="AD44" i="94"/>
  <c r="AD42" i="95"/>
  <c r="T48" i="95" s="1"/>
  <c r="AD44" i="95"/>
  <c r="T38" i="92"/>
  <c r="T43" i="92"/>
  <c r="T37" i="92"/>
  <c r="T40" i="92"/>
  <c r="T42" i="92"/>
  <c r="T36" i="92"/>
  <c r="T44" i="92"/>
  <c r="T41" i="92"/>
  <c r="T39" i="92"/>
  <c r="T37" i="94"/>
  <c r="T39" i="94"/>
  <c r="T40" i="94"/>
  <c r="T36" i="94"/>
  <c r="T44" i="94"/>
  <c r="T38" i="94"/>
  <c r="T41" i="94"/>
  <c r="T42" i="94"/>
  <c r="T43" i="94"/>
  <c r="P36" i="95" a="1"/>
  <c r="P36" i="95" s="1"/>
  <c r="P36" i="32" a="1"/>
  <c r="P36" i="32" s="1"/>
  <c r="AD44" i="93"/>
  <c r="AD42" i="93"/>
  <c r="T48" i="93" s="1"/>
  <c r="AF71" i="106" l="1"/>
  <c r="AH69" i="106" s="1"/>
  <c r="U2" i="106" s="1"/>
  <c r="AH6" i="71" s="1"/>
  <c r="AB9" i="71" s="1"/>
  <c r="AU31" i="91"/>
  <c r="AF40" i="91"/>
  <c r="AE40" i="91" s="1"/>
  <c r="AF39" i="91"/>
  <c r="AE39" i="91" s="1"/>
  <c r="AF37" i="91"/>
  <c r="AF38" i="91"/>
  <c r="AE38" i="91" s="1"/>
  <c r="AF36" i="91"/>
  <c r="AF38" i="95"/>
  <c r="AE38" i="95" s="1"/>
  <c r="AF36" i="95"/>
  <c r="AF40" i="95"/>
  <c r="AE40" i="95" s="1"/>
  <c r="AU31" i="95"/>
  <c r="AF39" i="95"/>
  <c r="AE39" i="95" s="1"/>
  <c r="AF37" i="95"/>
  <c r="AU31" i="32"/>
  <c r="AF37" i="32"/>
  <c r="AF38" i="32"/>
  <c r="AE38" i="32" s="1"/>
  <c r="AF40" i="32"/>
  <c r="AE40" i="32" s="1"/>
  <c r="AF39" i="32"/>
  <c r="AE39" i="32" s="1"/>
  <c r="AF36" i="32"/>
  <c r="AU31" i="94"/>
  <c r="AF40" i="94"/>
  <c r="AE40" i="94" s="1"/>
  <c r="AF39" i="94"/>
  <c r="AE39" i="94" s="1"/>
  <c r="AF37" i="94"/>
  <c r="AF38" i="94"/>
  <c r="AE38" i="94" s="1"/>
  <c r="AF36" i="94"/>
  <c r="AF36" i="92"/>
  <c r="AU31" i="92"/>
  <c r="AF40" i="92"/>
  <c r="AE40" i="92" s="1"/>
  <c r="AF39" i="92"/>
  <c r="AE39" i="92" s="1"/>
  <c r="AF37" i="92"/>
  <c r="AF38" i="92"/>
  <c r="AE38" i="92" s="1"/>
  <c r="AF39" i="93"/>
  <c r="AE39" i="93" s="1"/>
  <c r="AF37" i="93"/>
  <c r="AF38" i="93"/>
  <c r="AE38" i="93" s="1"/>
  <c r="AF36" i="93"/>
  <c r="AU31" i="93"/>
  <c r="AF40" i="93"/>
  <c r="AE40" i="93" s="1"/>
  <c r="AH7" i="71" l="1"/>
  <c r="X4" i="99" s="1"/>
  <c r="A10" i="9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<sst xmlns="http://schemas.openxmlformats.org/spreadsheetml/2006/main" count="21491" uniqueCount="4624">
  <si>
    <t>45° clip</t>
  </si>
  <si>
    <t>FGV</t>
  </si>
  <si>
    <t>BLUM</t>
  </si>
  <si>
    <t xml:space="preserve">Šířka </t>
  </si>
  <si>
    <t>Počet kusů</t>
  </si>
  <si>
    <t>Typ skla</t>
  </si>
  <si>
    <t>Sklo</t>
  </si>
  <si>
    <t>Posuvné rámečky</t>
  </si>
  <si>
    <t>Podložky</t>
  </si>
  <si>
    <t>Szerokość</t>
  </si>
  <si>
    <t>Wysokość</t>
  </si>
  <si>
    <t>Numer zamówienia</t>
  </si>
  <si>
    <t>Rodzaj szkła</t>
  </si>
  <si>
    <t>Ilość sztuk</t>
  </si>
  <si>
    <t>Výška</t>
  </si>
  <si>
    <t>Cena celkem</t>
  </si>
  <si>
    <t>Cena rámečků celkem</t>
  </si>
  <si>
    <t>Cena kování celkem</t>
  </si>
  <si>
    <t>Kurz</t>
  </si>
  <si>
    <t>Název</t>
  </si>
  <si>
    <t>Cena CZ</t>
  </si>
  <si>
    <t>Cena SK</t>
  </si>
  <si>
    <t>Cena PL</t>
  </si>
  <si>
    <t>Cena HU</t>
  </si>
  <si>
    <t>Profil</t>
  </si>
  <si>
    <t>ZC nová/profil</t>
  </si>
  <si>
    <t>ZC nová/konst.</t>
  </si>
  <si>
    <t>BRW</t>
  </si>
  <si>
    <t>ZC nová</t>
  </si>
  <si>
    <t>Lacobel RAL 1015</t>
  </si>
  <si>
    <t>Lacobel RAL 9010</t>
  </si>
  <si>
    <t>Lacobel REF 1236</t>
  </si>
  <si>
    <t>Lacobel RAL 7035</t>
  </si>
  <si>
    <t>Lacobel REF 0337</t>
  </si>
  <si>
    <t>Lacobel REF 0627</t>
  </si>
  <si>
    <t>Lacobel RAL 1013</t>
  </si>
  <si>
    <t>Lacobel RAL 9003</t>
  </si>
  <si>
    <t>Lacobel RAL 9006</t>
  </si>
  <si>
    <t>Lacobel RAL 9005</t>
  </si>
  <si>
    <t>Lacobel REF 1586</t>
  </si>
  <si>
    <t>Matelac RAL 9003</t>
  </si>
  <si>
    <t>Matelac RAL 9005</t>
  </si>
  <si>
    <t>čeština</t>
  </si>
  <si>
    <t>Slovenština</t>
  </si>
  <si>
    <t>Polština</t>
  </si>
  <si>
    <t>Maďarština</t>
  </si>
  <si>
    <t>Matelac zrcadlo bronz</t>
  </si>
  <si>
    <t>Matelac zrcadlo stříbr.</t>
  </si>
  <si>
    <t>Matelac zrcadlo grafit</t>
  </si>
  <si>
    <t>Cena za kompletní objednávku</t>
  </si>
  <si>
    <t>Typ kování</t>
  </si>
  <si>
    <t>Spodní dvířko</t>
  </si>
  <si>
    <t>Horní dvířko</t>
  </si>
  <si>
    <t>AVENTOS HF</t>
  </si>
  <si>
    <t>AVENTOS HKS</t>
  </si>
  <si>
    <t>AVENTOS HL</t>
  </si>
  <si>
    <t>AVENTOS HS</t>
  </si>
  <si>
    <t>STRONG</t>
  </si>
  <si>
    <t>92590T</t>
  </si>
  <si>
    <t>92580T</t>
  </si>
  <si>
    <t>92581T</t>
  </si>
  <si>
    <t>92582T</t>
  </si>
  <si>
    <t>92594T</t>
  </si>
  <si>
    <t>92591T</t>
  </si>
  <si>
    <t>Naložený clip</t>
  </si>
  <si>
    <t>Polonaložený clip</t>
  </si>
  <si>
    <t>Vložený clip</t>
  </si>
  <si>
    <t>Úhel 45°</t>
  </si>
  <si>
    <t>Naložený</t>
  </si>
  <si>
    <t>Polonaložený</t>
  </si>
  <si>
    <t>Vložený</t>
  </si>
  <si>
    <t>Naložený s opačnou pružinou</t>
  </si>
  <si>
    <t>Vložený s opačnou pružinou</t>
  </si>
  <si>
    <t>Naložený bez pružiny</t>
  </si>
  <si>
    <t>PL</t>
  </si>
  <si>
    <t>HU</t>
  </si>
  <si>
    <t>92593T</t>
  </si>
  <si>
    <t>92592T</t>
  </si>
  <si>
    <t>Naložený pro Blumotion</t>
  </si>
  <si>
    <t>45° clip polonaložený</t>
  </si>
  <si>
    <t>45° clip naložený</t>
  </si>
  <si>
    <t>Naložený bez pružiny (TIP-ON)</t>
  </si>
  <si>
    <t>Clip na vrut</t>
  </si>
  <si>
    <t>Clip na eurošroub</t>
  </si>
  <si>
    <t xml:space="preserve">Zvýšená o 6 mm </t>
  </si>
  <si>
    <t>Clip na vrut H0</t>
  </si>
  <si>
    <t xml:space="preserve">Clip na eurošroub H0 </t>
  </si>
  <si>
    <t>Clip na vrut H2</t>
  </si>
  <si>
    <t>Clip na vrut H4</t>
  </si>
  <si>
    <t>Clip na eurošroub H2</t>
  </si>
  <si>
    <t>Clip na eurošroub H4</t>
  </si>
  <si>
    <t>Slide on na vrut H2</t>
  </si>
  <si>
    <t>Slide on na vrut H4</t>
  </si>
  <si>
    <t>Slide on na eurošroub H2</t>
  </si>
  <si>
    <t>Slide on na eurošroub H4</t>
  </si>
  <si>
    <t>Výrobce závěsů</t>
  </si>
  <si>
    <t>Typ závěsů</t>
  </si>
  <si>
    <t>Typ Aventosu</t>
  </si>
  <si>
    <t>Typ podložky</t>
  </si>
  <si>
    <t>Dodat včetně uvedeného kování</t>
  </si>
  <si>
    <t>Zvedací písty</t>
  </si>
  <si>
    <t>Vlevo</t>
  </si>
  <si>
    <t xml:space="preserve">Vpravo </t>
  </si>
  <si>
    <t>2 Kusy (obě strany)</t>
  </si>
  <si>
    <t>Výběr pozice rámečku</t>
  </si>
  <si>
    <t>Úzký ALU rámeček</t>
  </si>
  <si>
    <t>Široký ALU rámeček</t>
  </si>
  <si>
    <t>MDF tloušťky 18 mm</t>
  </si>
  <si>
    <t>MDF tloušťky 16 mm</t>
  </si>
  <si>
    <t>DTDL tloušťky 18 mm</t>
  </si>
  <si>
    <t>Umístění závěsů</t>
  </si>
  <si>
    <t>Nahoře</t>
  </si>
  <si>
    <t>Dole</t>
  </si>
  <si>
    <t>CZ</t>
  </si>
  <si>
    <t>SK</t>
  </si>
  <si>
    <t>Provedení druhého dvířka</t>
  </si>
  <si>
    <t>Vzdálenost závěsu od kraje</t>
  </si>
  <si>
    <t>Vyplňte pouze pokud nebude vrtání symetricky na střed</t>
  </si>
  <si>
    <t>Objednávkový formulář ALU rámečků</t>
  </si>
  <si>
    <t>IČ:</t>
  </si>
  <si>
    <t>Zákazník</t>
  </si>
  <si>
    <t>Adresa provozovny</t>
  </si>
  <si>
    <t>Kontaktní tel.</t>
  </si>
  <si>
    <t>Kontaktní e-mail</t>
  </si>
  <si>
    <t>Sleva na rámečky</t>
  </si>
  <si>
    <t>Sleva na kování</t>
  </si>
  <si>
    <t>barva</t>
  </si>
  <si>
    <t>RAL 1015</t>
  </si>
  <si>
    <t>RAL 5002</t>
  </si>
  <si>
    <t>RAL 9010</t>
  </si>
  <si>
    <t>RAL 9003</t>
  </si>
  <si>
    <t>RAL 9006</t>
  </si>
  <si>
    <t>RAL 2001</t>
  </si>
  <si>
    <t>RAL 3004</t>
  </si>
  <si>
    <t>RAL 9005</t>
  </si>
  <si>
    <t>RAL 4006</t>
  </si>
  <si>
    <t>REF 1586</t>
  </si>
  <si>
    <t>REF 1236</t>
  </si>
  <si>
    <t>RAL 7035</t>
  </si>
  <si>
    <t>REF 0337</t>
  </si>
  <si>
    <t>REF 0627</t>
  </si>
  <si>
    <t>RAL 8017</t>
  </si>
  <si>
    <t>RAL 1013</t>
  </si>
  <si>
    <t>RAL 1014</t>
  </si>
  <si>
    <t>Barevné náhledy u jednotlivých názvů RAL a REF jsou pouze orientační!!!!</t>
  </si>
  <si>
    <t>Číslo objednávky</t>
  </si>
  <si>
    <t>45 mm</t>
  </si>
  <si>
    <t>Počet dvířek</t>
  </si>
  <si>
    <t>Standardně je objednávka dodána včetně kování a vodících profilů</t>
  </si>
  <si>
    <t>Typ profilu</t>
  </si>
  <si>
    <t>LACOBEL</t>
  </si>
  <si>
    <t>MATELAC</t>
  </si>
  <si>
    <t xml:space="preserve">Při vyplňování formuláře postupujte vždy shora dolů. Provedete li zpětně změnu, překontrolujte zda jsou následující položky správně. </t>
  </si>
  <si>
    <t>Počet kusov</t>
  </si>
  <si>
    <t>Šírka</t>
  </si>
  <si>
    <t>Cena rámčekov celkom</t>
  </si>
  <si>
    <t>Cena kovania celkom</t>
  </si>
  <si>
    <t>Cena za kompletnú objednávku</t>
  </si>
  <si>
    <t>Horné dvierko</t>
  </si>
  <si>
    <t>Spodné dvierko</t>
  </si>
  <si>
    <t>Uhol 45°</t>
  </si>
  <si>
    <t xml:space="preserve">Naložený </t>
  </si>
  <si>
    <t xml:space="preserve">Polonaložený </t>
  </si>
  <si>
    <t xml:space="preserve">Vložený </t>
  </si>
  <si>
    <t>Clip na skrutku H2</t>
  </si>
  <si>
    <t>Clip na skrutku H4</t>
  </si>
  <si>
    <t>Clip na euroskrutku H2</t>
  </si>
  <si>
    <t>Clip na euroskrutku H4</t>
  </si>
  <si>
    <t>Slide on na skrutku H2</t>
  </si>
  <si>
    <t>Slide on na skrutku H4</t>
  </si>
  <si>
    <t>Slide on na eurosktutku H2</t>
  </si>
  <si>
    <t>Slide on na eurosktutku H4</t>
  </si>
  <si>
    <t>Naložený pre Blumotion</t>
  </si>
  <si>
    <t>45°clip naložený</t>
  </si>
  <si>
    <t>Naložený bez pružiny(TIP-ON)</t>
  </si>
  <si>
    <t>Clip na euroskrutku</t>
  </si>
  <si>
    <t>Clip na skrutku</t>
  </si>
  <si>
    <t>Zvýšená o 6 mm</t>
  </si>
  <si>
    <t xml:space="preserve">45°clip </t>
  </si>
  <si>
    <t>Clip na euroskrutku H0</t>
  </si>
  <si>
    <t>Clip na skrutku H0</t>
  </si>
  <si>
    <t>Výber pozície rámčeku</t>
  </si>
  <si>
    <t>Výrobca závesov</t>
  </si>
  <si>
    <t>Typ závesov</t>
  </si>
  <si>
    <t>Počet závesov na 1 rámček</t>
  </si>
  <si>
    <t>Zdvíhacie piesty</t>
  </si>
  <si>
    <t>Dodať vrátane uvedeného kovania</t>
  </si>
  <si>
    <t>Vpravo</t>
  </si>
  <si>
    <t>Vľavo</t>
  </si>
  <si>
    <t>2 Kusy (obe strany)</t>
  </si>
  <si>
    <t>Vyhotovenie druhého dvierka</t>
  </si>
  <si>
    <t>Úzky ALU rámček</t>
  </si>
  <si>
    <t>Široký ALU rámček</t>
  </si>
  <si>
    <t>MDF hrúbky 16 mm</t>
  </si>
  <si>
    <t>MDF hrúbky 18 mm</t>
  </si>
  <si>
    <t>DTDL hrúbky 18 mm</t>
  </si>
  <si>
    <t>Umiestnenie závesov</t>
  </si>
  <si>
    <t>Hore</t>
  </si>
  <si>
    <t>Vzdialenosť závesu od kraja</t>
  </si>
  <si>
    <t>Vyplňte iba ak nebude vŕtanie symetricky na stred</t>
  </si>
  <si>
    <t>Objednávkový formulár ALU rámčekov</t>
  </si>
  <si>
    <t>Cena celkom</t>
  </si>
  <si>
    <t>Kontaktný tel.</t>
  </si>
  <si>
    <t>Kontaktný e -mail</t>
  </si>
  <si>
    <t>Adresa prevádzky</t>
  </si>
  <si>
    <t>Zľava na rámčeky</t>
  </si>
  <si>
    <t>Zľava na kovanie</t>
  </si>
  <si>
    <t>Pri vyplňaní formulára postupujte vždy zhora nadol. Ak urobíte spätne zmenu, prekontrolujte či sú nasledovné položky správne.</t>
  </si>
  <si>
    <t>Typ kovania</t>
  </si>
  <si>
    <t>Farebné náhľady u jednotlivých názvov RAL a REF sú len orientačné !!!</t>
  </si>
  <si>
    <t>Uwagi (notatki)</t>
  </si>
  <si>
    <t>Cena ramek</t>
  </si>
  <si>
    <t>Cena okuć</t>
  </si>
  <si>
    <t>Cena za kompletne zamówienie</t>
  </si>
  <si>
    <t>Górne drzwi</t>
  </si>
  <si>
    <t>Dolne drzwi</t>
  </si>
  <si>
    <t>Nakładany Clip</t>
  </si>
  <si>
    <t>Półnakładany Clip</t>
  </si>
  <si>
    <t>Wpuszczany Clip</t>
  </si>
  <si>
    <t>Kąt 45°</t>
  </si>
  <si>
    <t>Nakładany</t>
  </si>
  <si>
    <t>Półnakładany</t>
  </si>
  <si>
    <t xml:space="preserve">Wpuszczany </t>
  </si>
  <si>
    <t>Nakładany z odwrotną funkcją sprężyny</t>
  </si>
  <si>
    <t>Wpuszczany z odwrotną funkcją sprężyny</t>
  </si>
  <si>
    <t>Clip na wkręt H2</t>
  </si>
  <si>
    <t>Clip na wkręt H4</t>
  </si>
  <si>
    <t>Clip na wkręt euro H2</t>
  </si>
  <si>
    <t>Clip na wkręt euro H4</t>
  </si>
  <si>
    <t>Slide on na wkręt H2</t>
  </si>
  <si>
    <t>Slide on na wkręt H4</t>
  </si>
  <si>
    <t>Slide on na euro wkręt H2</t>
  </si>
  <si>
    <t>Slide on na euro wkręt H4</t>
  </si>
  <si>
    <t>Nakładany do Blumotion</t>
  </si>
  <si>
    <t>45° clip nakładany</t>
  </si>
  <si>
    <t>45° clip półnakładany</t>
  </si>
  <si>
    <t xml:space="preserve">Nakładany bez sprężyny </t>
  </si>
  <si>
    <t>Nakładany bez sprężyny (TIP-ON)</t>
  </si>
  <si>
    <t xml:space="preserve">Clip na wkręt euro </t>
  </si>
  <si>
    <t>Clip na wkręt</t>
  </si>
  <si>
    <t xml:space="preserve">Clip na wkręt euro H0 </t>
  </si>
  <si>
    <t>Clip na wkręt H0</t>
  </si>
  <si>
    <t>Marka zawiasu</t>
  </si>
  <si>
    <t>Rodzaj zawiasu</t>
  </si>
  <si>
    <t>Rodzaj Aventosu</t>
  </si>
  <si>
    <t>Rodzaj prowadnika</t>
  </si>
  <si>
    <t>Ilość zawiasów na 1 ramkę</t>
  </si>
  <si>
    <t>Podnośniki gazowe</t>
  </si>
  <si>
    <t>W prawo</t>
  </si>
  <si>
    <t>W lewo</t>
  </si>
  <si>
    <t>2 sztuki (obydwie strony)</t>
  </si>
  <si>
    <t>Wąska ALU ramka</t>
  </si>
  <si>
    <t>Szeroka ALU ramka</t>
  </si>
  <si>
    <t>MDF grubość 16mm</t>
  </si>
  <si>
    <t>MDF grubość 18mm</t>
  </si>
  <si>
    <t>Umieszczenie zawiasu</t>
  </si>
  <si>
    <t>Odległość zawiasu od krawędzi</t>
  </si>
  <si>
    <t>Formularz zamówienia ramek aluminiowych</t>
  </si>
  <si>
    <t>Formularz należy wypełniać od góry do dołu. Po ewentualnej zmianie proszę skontrolować poprawność wprowadzonych danych.</t>
  </si>
  <si>
    <t>Suma</t>
  </si>
  <si>
    <t>Klient</t>
  </si>
  <si>
    <t>Telefon kontaktowy</t>
  </si>
  <si>
    <t>Adres e-mail</t>
  </si>
  <si>
    <t>Adres oddziału</t>
  </si>
  <si>
    <t>NIP</t>
  </si>
  <si>
    <t>Rabat na ramki</t>
  </si>
  <si>
    <t>Rabat na okucia</t>
  </si>
  <si>
    <t>Matelac lustro bronz</t>
  </si>
  <si>
    <t>Matelac lustro grafit</t>
  </si>
  <si>
    <t>Matelac zrkadlo bronz</t>
  </si>
  <si>
    <t>Matelac zrkadlo grafit</t>
  </si>
  <si>
    <t xml:space="preserve">Vyplňte pouze pokud nebude vrtání symetricky na střed </t>
  </si>
  <si>
    <t>Typ okucia</t>
  </si>
  <si>
    <t>Rodzaj drugiej ramki</t>
  </si>
  <si>
    <t>Dostarczyć łącznie z podanymi okuciami meblowymi</t>
  </si>
  <si>
    <t>Üveg típus</t>
  </si>
  <si>
    <t>Szélesség</t>
  </si>
  <si>
    <t>Magasság</t>
  </si>
  <si>
    <t>A keretek ára összesen</t>
  </si>
  <si>
    <t>A vasalat ára összesen</t>
  </si>
  <si>
    <t>A megrendelés teljes ára</t>
  </si>
  <si>
    <t>Alsó ajtó</t>
  </si>
  <si>
    <t>Ráütődő klip</t>
  </si>
  <si>
    <t>Szög 45°</t>
  </si>
  <si>
    <t>Ráütődő</t>
  </si>
  <si>
    <t>Féligráütődő</t>
  </si>
  <si>
    <t>Közzézáródó</t>
  </si>
  <si>
    <t>Ráütődő ellenrugóval</t>
  </si>
  <si>
    <t>Klip csavarra H2</t>
  </si>
  <si>
    <t>Klip csavarra H4</t>
  </si>
  <si>
    <t>Klip EURO csavarra H2</t>
  </si>
  <si>
    <t>Klip EURO csavarra H4</t>
  </si>
  <si>
    <t>Slide on csavarra H2</t>
  </si>
  <si>
    <t>Slide on csavarra H4</t>
  </si>
  <si>
    <t>Slide on EURO csavarra H2</t>
  </si>
  <si>
    <t>Slide on EURO csavarra H4</t>
  </si>
  <si>
    <t>Ráütődő Blumotionhoz</t>
  </si>
  <si>
    <t>45° clip Ráütődő</t>
  </si>
  <si>
    <t>Ráütődő rugó nélkül</t>
  </si>
  <si>
    <t>Ráütődő rugó nélkül (TIP-ON)</t>
  </si>
  <si>
    <t>Klip EURO csavarra</t>
  </si>
  <si>
    <t>Klip csavarra</t>
  </si>
  <si>
    <t xml:space="preserve">Magasított 6 mm </t>
  </si>
  <si>
    <t xml:space="preserve">Klip EURO csavarra H0 </t>
  </si>
  <si>
    <t>Klip csavarra H0</t>
  </si>
  <si>
    <t>A keret helyének kiválasztása</t>
  </si>
  <si>
    <t>A pántok gyártója</t>
  </si>
  <si>
    <t>A pántok típusa</t>
  </si>
  <si>
    <t>Az alátét típusa</t>
  </si>
  <si>
    <t>A pántok száma 1 keretre</t>
  </si>
  <si>
    <t xml:space="preserve">Jobbra </t>
  </si>
  <si>
    <t>Balra</t>
  </si>
  <si>
    <t>2 darab (mind a két oldalra)</t>
  </si>
  <si>
    <t>Keskeny ALU keret</t>
  </si>
  <si>
    <t>Széles ALU keret</t>
  </si>
  <si>
    <t>MDF vastagság 16 mm</t>
  </si>
  <si>
    <t>MDF vastagság 18 mm</t>
  </si>
  <si>
    <t>A pántok elhelyezése</t>
  </si>
  <si>
    <t>A pánt távolsága a peremtől</t>
  </si>
  <si>
    <t>Töltse ki abban az esetben, amennyiben a fúrás nem lesz szimetrikus a középre</t>
  </si>
  <si>
    <t>Ár összesen</t>
  </si>
  <si>
    <t>Vevő</t>
  </si>
  <si>
    <t>Kontakt telefon</t>
  </si>
  <si>
    <t>Kontakt e-mail</t>
  </si>
  <si>
    <t>Szállítási cím</t>
  </si>
  <si>
    <t>Engedmény a keretekre</t>
  </si>
  <si>
    <t>Engedmény a vasalatokra</t>
  </si>
  <si>
    <t>A megrendelés száma</t>
  </si>
  <si>
    <t>Tükör</t>
  </si>
  <si>
    <t>Matelac tükör bronz</t>
  </si>
  <si>
    <t>Matelac tükör grafit</t>
  </si>
  <si>
    <t>Poznámky</t>
  </si>
  <si>
    <t>Megjegyzések</t>
  </si>
  <si>
    <t>Rodzaj profilu</t>
  </si>
  <si>
    <t>Objednávka ALU</t>
  </si>
  <si>
    <t>Barvy LACOBEL A MATELAC</t>
  </si>
  <si>
    <t>Štandardne je objednávka dodaná vrátane kovania a vodiacich profilov</t>
  </si>
  <si>
    <t>Vnútorný rozmer skrinky (mm)</t>
  </si>
  <si>
    <t>Počet dvierok</t>
  </si>
  <si>
    <t xml:space="preserve">Vnitřní rozměr skříňky (mm)  </t>
  </si>
  <si>
    <t>Tu sú uvedené štandardné presahy dvierok</t>
  </si>
  <si>
    <t>farba</t>
  </si>
  <si>
    <t xml:space="preserve">Vyplňte iba vtedy ak nebude vŕtanie symetricky na stred </t>
  </si>
  <si>
    <t>Posuvné rámčeky</t>
  </si>
  <si>
    <t>Farby LACOBEL A MATELAC</t>
  </si>
  <si>
    <t>Profil típus</t>
  </si>
  <si>
    <t>Wypełnij jedynie w przypadku, że wiercenie nie będzie symetryczne w stosunku do środka</t>
  </si>
  <si>
    <t>Wewnętrzne rozmiary szafki (mm)</t>
  </si>
  <si>
    <t>kolor</t>
  </si>
  <si>
    <t>Zamówienie ALU</t>
  </si>
  <si>
    <t>Kolory LACOBEL i MATELAC</t>
  </si>
  <si>
    <t>Töltse ki abban az esetben, ha a fúrás nem lesz szimmetrikus a középre</t>
  </si>
  <si>
    <t xml:space="preserve">A szekrény belső mérete (mm)  </t>
  </si>
  <si>
    <t>Az ajtók száma</t>
  </si>
  <si>
    <t>szín</t>
  </si>
  <si>
    <t>Megrendelés ALU</t>
  </si>
  <si>
    <t>LACOBEL és MATELAC színek</t>
  </si>
  <si>
    <t>20L3200</t>
  </si>
  <si>
    <t>20L3500</t>
  </si>
  <si>
    <t>20L3800</t>
  </si>
  <si>
    <t>20L3900</t>
  </si>
  <si>
    <t>Typ ramene</t>
  </si>
  <si>
    <t>Hmotnost úchytky (g)</t>
  </si>
  <si>
    <t>Typy profilů</t>
  </si>
  <si>
    <t>Typ ramena</t>
  </si>
  <si>
    <t>Rodzaj ramienia</t>
  </si>
  <si>
    <t>A kar típusa</t>
  </si>
  <si>
    <t>Hmotnosť úchytky (g)</t>
  </si>
  <si>
    <t>Waga uchwytu (g)</t>
  </si>
  <si>
    <t>A fogantyú súly (g)</t>
  </si>
  <si>
    <t>Typy profilov</t>
  </si>
  <si>
    <t>Rodzaje profili</t>
  </si>
  <si>
    <t>A profilok típusa</t>
  </si>
  <si>
    <t>Megrendelőlap ALU keretekre</t>
  </si>
  <si>
    <t xml:space="preserve">Standardowo zamówienie dostarczane jest zawsze łącznie z okuciem i listwą torową. </t>
  </si>
  <si>
    <t xml:space="preserve"> </t>
  </si>
  <si>
    <t>Modena</t>
  </si>
  <si>
    <t>Verona</t>
  </si>
  <si>
    <t>Vivaro</t>
  </si>
  <si>
    <t>Pisa</t>
  </si>
  <si>
    <t>Corleone</t>
  </si>
  <si>
    <t>Palio</t>
  </si>
  <si>
    <t>Siena</t>
  </si>
  <si>
    <t>Rocca</t>
  </si>
  <si>
    <t>Imola</t>
  </si>
  <si>
    <t>Čiré</t>
  </si>
  <si>
    <t>Číre</t>
  </si>
  <si>
    <t>Czyste</t>
  </si>
  <si>
    <t>Átlátszó Üveg</t>
  </si>
  <si>
    <t>Satinato</t>
  </si>
  <si>
    <t>Lakomat</t>
  </si>
  <si>
    <t>Zrcadlo</t>
  </si>
  <si>
    <t>Zrkadlo</t>
  </si>
  <si>
    <t>Lustro</t>
  </si>
  <si>
    <t>Master (Carre)</t>
  </si>
  <si>
    <t>Master  Point</t>
  </si>
  <si>
    <t>Master  Shine</t>
  </si>
  <si>
    <t>Antisol bronz</t>
  </si>
  <si>
    <t>Antisol grafit</t>
  </si>
  <si>
    <t>Závěsy</t>
  </si>
  <si>
    <t>Závesy</t>
  </si>
  <si>
    <t>Zawiasy</t>
  </si>
  <si>
    <t>Pántok</t>
  </si>
  <si>
    <t>Aventos ostatní</t>
  </si>
  <si>
    <t>Aventos ostatné</t>
  </si>
  <si>
    <t>Aventos - pozostałe</t>
  </si>
  <si>
    <t>Závěsy se zvedacím pístem</t>
  </si>
  <si>
    <t>Závesy so sdvíhacím piestom</t>
  </si>
  <si>
    <t>Felső ajtó</t>
  </si>
  <si>
    <t>AVENTOS HF Servo Drive</t>
  </si>
  <si>
    <t>AVENTOS HKS TIP ON</t>
  </si>
  <si>
    <t>AVENTOS HL Servo Drive</t>
  </si>
  <si>
    <t>AVENTOS HS Servo Drive</t>
  </si>
  <si>
    <t>Uvedené ceny jsou bez DPH a nezahrnují cenu požadovaného kování!</t>
  </si>
  <si>
    <t>Spodní</t>
  </si>
  <si>
    <t>KRABY 164 45N</t>
  </si>
  <si>
    <t>KRABY 164 60N</t>
  </si>
  <si>
    <t>KRABY 244 45N</t>
  </si>
  <si>
    <t>KRABY 244 60N</t>
  </si>
  <si>
    <t>KRABY 244 90N</t>
  </si>
  <si>
    <t>KRABY 244 120N</t>
  </si>
  <si>
    <t>KRABY 355 45N</t>
  </si>
  <si>
    <t>KRABY 355 60N</t>
  </si>
  <si>
    <t>KRABY 355 90N</t>
  </si>
  <si>
    <t>KRABY 355 120N</t>
  </si>
  <si>
    <t>spodní</t>
  </si>
  <si>
    <t>spodné</t>
  </si>
  <si>
    <t>Dolne</t>
  </si>
  <si>
    <t>Alsó</t>
  </si>
  <si>
    <t>92584T</t>
  </si>
  <si>
    <t>Minimální vzdálenost umístění závěsů</t>
  </si>
  <si>
    <t>Naložený s integr. Blumotionem</t>
  </si>
  <si>
    <t>Polonaložený s integr. Blumotionem</t>
  </si>
  <si>
    <t>Vložený s integr. Blumotionem</t>
  </si>
  <si>
    <t xml:space="preserve">Standardní vrtání otvoru pro misku závěsu je 3 mm od hrany. </t>
  </si>
  <si>
    <t>Standardní průměr otvorů pro úchytky je ve skle 7 mm a v rámečku 5 mm (distanční podložky jsou součástí balení).</t>
  </si>
  <si>
    <t xml:space="preserve">Pokud je váš požadavek jiný než je uvedeno výše, uveďte ho do poznámky. </t>
  </si>
  <si>
    <t>Reklamace spojené s poškozením nelze uplatnit, pokud byl rámeček již namontován.</t>
  </si>
  <si>
    <t xml:space="preserve">Pro připevnění kování do ALU rámečku, je nutné používat vruty pro toto určené (např. kód 13681). </t>
  </si>
  <si>
    <t xml:space="preserve">Objednávka může obsahovat i více typů (rozměrů) rámečků najednou, přičemž se taková objednávka bere jako platná. Proto doporučujeme před odeslání zkontrolovat formulář, zda obsahuje pouze vámi požadované rámečky.     </t>
  </si>
  <si>
    <t>U určitých typů úchytek jsou závity pro šrouby zapuštěné a je nutné použít vhodné distanční podložky.</t>
  </si>
  <si>
    <t>Formulář obsahuje několik listů, mezi kterými je možné se přepínat ve spodní části.</t>
  </si>
  <si>
    <t>Běžné rámečky</t>
  </si>
  <si>
    <t>Nákresy profilů a spoj. kování</t>
  </si>
  <si>
    <t>Všechny skla Lacobel a Matelac je možné podlepit bezpečnostní fólií (v případě potřeby uveďte do poznámky)</t>
  </si>
  <si>
    <t xml:space="preserve">Vyplněnou objednávku zašlete na adresu </t>
  </si>
  <si>
    <t>zamowienia@demos-trade.com</t>
  </si>
  <si>
    <t>megrendelesek@demos-trade.com</t>
  </si>
  <si>
    <t>objednavky@demos-trade.com</t>
  </si>
  <si>
    <t>Nákresy profilů</t>
  </si>
  <si>
    <t>Sada kování na úzký rámeček H27AL (88630)</t>
  </si>
  <si>
    <t>Sada kování na široký rámeček H37AL (88631)</t>
  </si>
  <si>
    <t>Horní vedení délka 2 m (87313)</t>
  </si>
  <si>
    <t>Horní vedení délka 3 m (87312)</t>
  </si>
  <si>
    <t>Typ rámečku</t>
  </si>
  <si>
    <t>Široký</t>
  </si>
  <si>
    <t>Úzký</t>
  </si>
  <si>
    <t>2 vedení (2 m)</t>
  </si>
  <si>
    <t>2 vedení (3 m)</t>
  </si>
  <si>
    <t>Jedno vedení 2m</t>
  </si>
  <si>
    <t>Jiný požadavek (ks)</t>
  </si>
  <si>
    <t>Zde jsou uvedeny standardní přesahy dvířek</t>
  </si>
  <si>
    <t>Standardowe prześwity drzwi</t>
  </si>
  <si>
    <t>Množství (ks)</t>
  </si>
  <si>
    <t>Vyplněním kontaktních údajů vyjadřujete současně souhlas, že jste se seznámil s informacemi uvedenými níže!</t>
  </si>
  <si>
    <t xml:space="preserve">Vhodné rozměry rámečku pro konkrétní typ kování je nutné ověřit před zadáním do objednávky (Aventplan, katalog, …), formulář nemá nastaveny omezení. </t>
  </si>
  <si>
    <t>Standardní vrtání otvorů pro závěsy u všech typů kování Aventos HF, je 100 mm od kraje.</t>
  </si>
  <si>
    <t>Vzorkovník skel je možné objednat pod kódy Lacebel VZK003P a Matelac VZK004P.</t>
  </si>
  <si>
    <t>HUWIL DUO (90°)</t>
  </si>
  <si>
    <t xml:space="preserve">Štandardné vŕtanie otvoru pre misku závesu je 3 mm od hrany. </t>
  </si>
  <si>
    <t>Uvedené ceny sú bez DPH a nezahrňujú cenu požadovaného kovania!</t>
  </si>
  <si>
    <t>Polonaložený s integr. blumotionom</t>
  </si>
  <si>
    <t>Vložený s integr. blumotionom</t>
  </si>
  <si>
    <t>Minimálna vzdialenosť umiestenia závesov</t>
  </si>
  <si>
    <t>Naložený s integr. blumotionom</t>
  </si>
  <si>
    <t>Štandardné vŕtanie otvorov pre závesy u všetkých typov kovania Aventos HF, je 100 mm od kraje.</t>
  </si>
  <si>
    <t>Štandardný priemer otvorov pre úchytky je v skle 7 mm a v rámčeku 5 mm (distančné podložky sú súčasťoubalenia).</t>
  </si>
  <si>
    <t xml:space="preserve">Ak je vaša požiadavka iná ako je uvedené vyššie, uveďte ho do poznámky. </t>
  </si>
  <si>
    <t>U určitých typov úchytiek sú závity pre skrutky zapustené a je nutné použiť vhodné distančné podložky.</t>
  </si>
  <si>
    <t>Reklamácie spojené s poškodením nie je možné uplatniť, pokiaľ bol rámček už namontovaný.</t>
  </si>
  <si>
    <t xml:space="preserve">Pre pripevnenie kovania do ALU rámčeka, je nutné používať skrutky pre toto určené (napr. kód 13681). </t>
  </si>
  <si>
    <t>Vždy používajte aktuálnu verziu formuláru, ktorý je dostupný na našich stránkach.</t>
  </si>
  <si>
    <t>Félig ráütődő integr. Blumotionnal</t>
  </si>
  <si>
    <t>Minimalna odległość umieszczenia zawiasu</t>
  </si>
  <si>
    <t>Minimális távolság a pántok elhelyezésére</t>
  </si>
  <si>
    <t>Ráütődő integr. Blumotionnal</t>
  </si>
  <si>
    <t xml:space="preserve">Standardowa średnica otworów dla uchwytów jest w szkle 7 mm, a w ramce 5 mm (opakowanie zawiera podkładki) </t>
  </si>
  <si>
    <t>A nyílások szabványos átmérője  fogantyúk részére, 7 mm üvegben és 5 mm keretben (a távtartó alátétek a csomagolásban).</t>
  </si>
  <si>
    <t>Jeżeli Państwa wymagania są inne niż powyżej, należy zapisać je w notatce.</t>
  </si>
  <si>
    <t>Amennyiben más a kívánsága, mint a fent megadott lehetőség, kérem írja be a megjegyzésbe</t>
  </si>
  <si>
    <t>Reklamációt a keret sérülésére nem lehet érvényesíteni, ha a keret már fel volt szerelve</t>
  </si>
  <si>
    <t>A vasalat felerősítésére az ALU keretre csak az erre a célra megadott csavarokat lehet használni (péld. kód 13681).</t>
  </si>
  <si>
    <t xml:space="preserve">Objednávka môže obsahovať aj viac typov (rozmerov) rámčekov naraz, pričom sa takáto objednávka berie ako platná. Preto doporučujeme pred odoslaním skontrolovať formulár, či obsahuje iba vami požadované rámčeky.     </t>
  </si>
  <si>
    <t>A megrendelés több típusú (méretű) keretet tartalmazhat, ezt a megrendelést érvényesnek tekintjük. Ezért kérjük ellenőrizni a megrendelőlapot, hogy csak az Ön által megrendelt kereteket tartalmazza.</t>
  </si>
  <si>
    <t>Formulár obsahuje niekoľko listov, medzi ktorými je možné sa prepínať v spodnej časti.</t>
  </si>
  <si>
    <t>Formularz składa się z kilku stron, które można przełączać w dolnej części.</t>
  </si>
  <si>
    <t>A megrendelési űrlap több lapot tartalmaz, ezek között váltani lehet az alsó részben.</t>
  </si>
  <si>
    <t xml:space="preserve">Vyplňte prosím vaše kontaktné údaje a následne kliknite na požadované políčko nižšie. </t>
  </si>
  <si>
    <t>Wpisz proszę dane kontaktowe i kliknij w odpowiednie okienko poniżej.</t>
  </si>
  <si>
    <t>Töltse ki kérem az elérhetőségét, ezután kattintson az alábbi mezőbe.</t>
  </si>
  <si>
    <t>Vyplnením kontaktných údajov vyjadrujete súčasne súhlas, že ste sa zoznámil s informáciami uvedenými nižšie!</t>
  </si>
  <si>
    <t>Poprzez zapisanie danych potwierdzasz, że zapoznałeś się z podanymi niżej informacjami!</t>
  </si>
  <si>
    <t>Az elérhetőségi adatok kitöltésével egyben igazolja, hogy megismerkedett az alábbi információkkal!</t>
  </si>
  <si>
    <t>Bežné rámčeky</t>
  </si>
  <si>
    <t>Zwykłe ramki</t>
  </si>
  <si>
    <t>Szokványos keretek</t>
  </si>
  <si>
    <t>Ramki przesuwne</t>
  </si>
  <si>
    <t>Tolóajtós keretek</t>
  </si>
  <si>
    <t>Rysunki profili i okuć łączących</t>
  </si>
  <si>
    <t>A profilok és összek.vasalat rajza</t>
  </si>
  <si>
    <t xml:space="preserve">Na požiadavku zákazníka, je možné dodať rámčeky s maximálnou dĺžkou profilu 3m. Maximálny rozmer skla je v tomto prípade 2500 x 1300 mm. </t>
  </si>
  <si>
    <t>A megrendelő kívánságára szállítható keret maximális profil hosszal 3m. Az üveg maximális mérete ebben az esetben 2500 x 1300 mm.</t>
  </si>
  <si>
    <t>Všetky sklá Lacobel a Matelac je možné podlepiť bezpečnostnou fóliou (v prípade potreby uveďte do poznámky)</t>
  </si>
  <si>
    <t xml:space="preserve">Vyplnenú objednávku zašlite na adresu </t>
  </si>
  <si>
    <t>A kitöltött megrendelést küldje el a következő címre:</t>
  </si>
  <si>
    <t>Nákresy profilov</t>
  </si>
  <si>
    <t>Rysunki profili</t>
  </si>
  <si>
    <t>A profilok rajza</t>
  </si>
  <si>
    <t>Sada kovania na úzky rámček H27AL (88630)</t>
  </si>
  <si>
    <t>Komplet okuć do wąskiej ramki H27AL (88630)</t>
  </si>
  <si>
    <t>Vasalat szett keskeny keretre H27AL (88630)</t>
  </si>
  <si>
    <t>Sada kovania na široký rámček H37AL (88631)</t>
  </si>
  <si>
    <t>Komplet okuć do szerokiej ramki H37AL (88631)</t>
  </si>
  <si>
    <t>Vasalat szett széles keretre H37AL (88631)</t>
  </si>
  <si>
    <t>Horné vedenie dĺžka 2 m (87313)</t>
  </si>
  <si>
    <t>Prowadzenie górne długość 2 m (87313)</t>
  </si>
  <si>
    <t>Felső vezetés hossz. 2 m (87313)</t>
  </si>
  <si>
    <t>Spodné vedenie dĺžka 2 m (87315)</t>
  </si>
  <si>
    <t>Prowadzenie dolne długość 2 m (87315)</t>
  </si>
  <si>
    <t>Alsó vezetés hossz. 2 m (87315)</t>
  </si>
  <si>
    <t>Horné vedenie dĺžka 3 m (87312)</t>
  </si>
  <si>
    <t>Prowadzenie górne długość 3 m (87312)</t>
  </si>
  <si>
    <t>Felső vezetés hossz. 3 m (87312)</t>
  </si>
  <si>
    <t>Spodné vedeniedĺžka 3 m (87314)</t>
  </si>
  <si>
    <t>Prowadzenie dolne długość 3 m (87314)</t>
  </si>
  <si>
    <t>Alsó vezetés hossz. 3 m (87314)</t>
  </si>
  <si>
    <t>Iná požiadavka (ks)</t>
  </si>
  <si>
    <t>Inne wymagania (szt)</t>
  </si>
  <si>
    <t>Egyéb kívánság (db)</t>
  </si>
  <si>
    <t>Množstvo (ks)</t>
  </si>
  <si>
    <t>Ilość (szt)</t>
  </si>
  <si>
    <t>Mennyiség (db)</t>
  </si>
  <si>
    <t>K nadrozmerným rámčekom (nad rozmer 1200 x 800 mm), môže byť účtovaný príplatok za špeciálne balenie a dopravu (viac informácií na zákazníckom centre).</t>
  </si>
  <si>
    <t xml:space="preserve">Vhodné rozmery rámčeku pre konkrétny typ kovania je nutné overiť pred zadanímdo objednávky (Aventplan, katalóg, …), formulár nemá nastavené obmedzenia. </t>
  </si>
  <si>
    <t>A megfelelő keret méreteket az adott vasalat típushoz a megrendelés előtt ellenőrizni kell (Aventplan, katalógus…), az űrlapon nincsenek beállítva a korlátozások.</t>
  </si>
  <si>
    <t>Wzornik szkieł można zamawiać pod kodami Lacebel VZK003P oraz Matelac VZK004P.</t>
  </si>
  <si>
    <t>Vzorkovník skiel je možné objednať pod kódmi Lacobel VZK003P a Matelac VZK004P.</t>
  </si>
  <si>
    <t>Čiré kalené (dodání 3 týdny)</t>
  </si>
  <si>
    <t>Číre kalené (dodanie 3 týždne)</t>
  </si>
  <si>
    <t>Czyste hartowane (dostawa 3 tygodnie)</t>
  </si>
  <si>
    <t xml:space="preserve">Vyplňte prosím vaše kontaktní údaje a poté klikněte na požadované políčko níže. </t>
  </si>
  <si>
    <t xml:space="preserve">Na požadavek zákazníka, je možné dodat rámečky s maximální délkou profilu 3m. Maximální rozměr skla je v tomto případě 2500 x 1300 mm. </t>
  </si>
  <si>
    <t>Cena za posuvné rámčeky je rovnaká ako cena za bežné rámčeky.</t>
  </si>
  <si>
    <t>Edzett üveg (szállítási idő 3 hét)</t>
  </si>
  <si>
    <t>BRW (elox.)</t>
  </si>
  <si>
    <t>Corleone (elox.)</t>
  </si>
  <si>
    <t>Vivaro (elox.)</t>
  </si>
  <si>
    <t>Lacobel RAL 9007</t>
  </si>
  <si>
    <t>Kurz 100HUF</t>
  </si>
  <si>
    <t>Uvedené nákresy dvířek jsou znázorněny při pohledu z přední strany.</t>
  </si>
  <si>
    <t>Nadrozměrný rámeček, může být účtováno vyšší dopravné</t>
  </si>
  <si>
    <t>Nadrozmerný rámček, môže byť účtované vyššie dopravné.</t>
  </si>
  <si>
    <t>Ramki ponadwymiarowe, może być doliczona wyższa opłata transportu.</t>
  </si>
  <si>
    <t>Túlméretes alu keret rendelése esetén, magasabb szállítási költséget számítunk.</t>
  </si>
  <si>
    <t>Výklop</t>
  </si>
  <si>
    <t>Druhé dvířko</t>
  </si>
  <si>
    <t>Aventos HF</t>
  </si>
  <si>
    <t>HETTICH</t>
  </si>
  <si>
    <t>AVENTOS HK-XS</t>
  </si>
  <si>
    <t>Sensys naložený tlumený</t>
  </si>
  <si>
    <t>Sensys polonaložený tlumený</t>
  </si>
  <si>
    <t>Sensys vložený tlumený</t>
  </si>
  <si>
    <t>Sensys příložný tlumený</t>
  </si>
  <si>
    <t>Sensys naložený netlumený</t>
  </si>
  <si>
    <t>Intermat naložený</t>
  </si>
  <si>
    <t>Intermat naložený 125°</t>
  </si>
  <si>
    <t>Intermat polonaložený</t>
  </si>
  <si>
    <t>Intermat vložený</t>
  </si>
  <si>
    <t>Intermat příložný</t>
  </si>
  <si>
    <t>podložka na Eurovrut</t>
  </si>
  <si>
    <t>podložka na rozpěrnou hmoždinku</t>
  </si>
  <si>
    <t>Umístění ramene</t>
  </si>
  <si>
    <t>AVENTOS HK-XS TIP-ON</t>
  </si>
  <si>
    <t>naložený s tlumením clip 110°</t>
  </si>
  <si>
    <t>polonaložený s tlumením clip 110°</t>
  </si>
  <si>
    <t>vložený s tlumením clip 110°</t>
  </si>
  <si>
    <t>naložený bez tlumení clip 110°</t>
  </si>
  <si>
    <t>polonaložený bez tlumení clip 110°</t>
  </si>
  <si>
    <t>vložený bez tlumení clip 110°</t>
  </si>
  <si>
    <t>naložený TIP-ON clip 110°</t>
  </si>
  <si>
    <t>polonaložený TIP-ON clip 110°</t>
  </si>
  <si>
    <t>vložený TIP-ON clip 110°</t>
  </si>
  <si>
    <t>naložený s tlumením clip 95°</t>
  </si>
  <si>
    <t>polonaložený s tlumením clip 95°</t>
  </si>
  <si>
    <t>vložený s tlumením clip 95°</t>
  </si>
  <si>
    <t>naložený TIP-ON clip 95°</t>
  </si>
  <si>
    <t>naložený TIP-ON clip 120°</t>
  </si>
  <si>
    <t>Sensys naložený bez tlumení</t>
  </si>
  <si>
    <t>Sensys vložený bez tlumení</t>
  </si>
  <si>
    <t>Výklopy</t>
  </si>
  <si>
    <t>STRONG 30N bílý Automatický</t>
  </si>
  <si>
    <t>STRONG 60N bílý Automatický</t>
  </si>
  <si>
    <t>STRONG 80N bílý Automatický</t>
  </si>
  <si>
    <t>STRONG 100N bílý Automatický</t>
  </si>
  <si>
    <t>STRONG 120N bílý Automatický</t>
  </si>
  <si>
    <t>STRONG 60N bílý Polohovací</t>
  </si>
  <si>
    <t>STRONG 80N bílý Polohovací</t>
  </si>
  <si>
    <t>STRONG 100N bílý Polohovací</t>
  </si>
  <si>
    <t>STRONG 120N bílý Polohovací</t>
  </si>
  <si>
    <t>STRONG 30N šedý Automatický</t>
  </si>
  <si>
    <t>STRONG 60N šedý Automatický</t>
  </si>
  <si>
    <t>STRONG 80N šedý Automatický</t>
  </si>
  <si>
    <t>STRONG 100N šedý Automatický</t>
  </si>
  <si>
    <t>STRONG 120N šedý Automatický</t>
  </si>
  <si>
    <t>STRONG 60N šedý Polohovací</t>
  </si>
  <si>
    <t>STRONG 80N šedý Polohovací</t>
  </si>
  <si>
    <t>STRONG 100N šedý Polohovací</t>
  </si>
  <si>
    <t>STRONG 120N šedý Polohovací</t>
  </si>
  <si>
    <t>HUWIL DUO</t>
  </si>
  <si>
    <t>HUWIL DUO FORTE</t>
  </si>
  <si>
    <t>HUWILIFT MAXI</t>
  </si>
  <si>
    <t>K12 244 50N</t>
  </si>
  <si>
    <t>K12 244 80N</t>
  </si>
  <si>
    <t>K12 244 100N</t>
  </si>
  <si>
    <t>K12 244 120N</t>
  </si>
  <si>
    <t>K12 355 60N</t>
  </si>
  <si>
    <t>K12 355 90N</t>
  </si>
  <si>
    <t>K12 355 110N</t>
  </si>
  <si>
    <t>K12 355 130N</t>
  </si>
  <si>
    <t>STRONG spodní bílý</t>
  </si>
  <si>
    <t>STRONG spodní šedý</t>
  </si>
  <si>
    <t xml:space="preserve">HUWIL DUO (90°) </t>
  </si>
  <si>
    <t>KRABY 164 spodní</t>
  </si>
  <si>
    <t>KRABY 244 spodní</t>
  </si>
  <si>
    <t>KRABY 355 spodní</t>
  </si>
  <si>
    <t>naložený k nasunutí</t>
  </si>
  <si>
    <t>polonaložený k nasunutí</t>
  </si>
  <si>
    <t>vložený k nasunutí</t>
  </si>
  <si>
    <t>STRONG bez tlumení</t>
  </si>
  <si>
    <t>STRONG s tlumením</t>
  </si>
  <si>
    <t>k nasunutí na vrut H0</t>
  </si>
  <si>
    <t>k nasunutí EURO šroub H0</t>
  </si>
  <si>
    <t>k nasunutí na vrut H2</t>
  </si>
  <si>
    <t>k nasunutí EURO šroub H2</t>
  </si>
  <si>
    <t>Clip vrut s excentrem H0</t>
  </si>
  <si>
    <t>podložka na vrut</t>
  </si>
  <si>
    <t>naložený clip</t>
  </si>
  <si>
    <t>polonaložený clip</t>
  </si>
  <si>
    <t>Maximální možný rozměr rámečku je 2500x1300mm</t>
  </si>
  <si>
    <t>Minimální vzdálenost závěsu od kraje rámečku je 70mm</t>
  </si>
  <si>
    <t>Minimální vzdálenost závěsu od kraje rámečku je 80mm</t>
  </si>
  <si>
    <t>N</t>
  </si>
  <si>
    <t>Maximálny možný rozmer rámčeku je 2500x1300mm</t>
  </si>
  <si>
    <t>Maksymalne wymiary ramki to 2500x1300mm</t>
  </si>
  <si>
    <t>a keret maximális mérete 2500x1300mm</t>
  </si>
  <si>
    <t>Minimálna vzdialenosť závesov od kraja rámčeku je 70mm</t>
  </si>
  <si>
    <t>Minimalna odległość zawiasu od krawędzi ramki jest 70mm</t>
  </si>
  <si>
    <t>a pánt minimális távolsága a keret szélétől 70cm</t>
  </si>
  <si>
    <t>Minimálna vzdialenosť závesov od kraja rámčeku je 80mm</t>
  </si>
  <si>
    <t>Minimalna odległość zawiasu od krawędzi ramki jest 80mm</t>
  </si>
  <si>
    <t>a pánt minimális távolsága a keret szélétől 80cm</t>
  </si>
  <si>
    <t>Sensys naložený tlmený</t>
  </si>
  <si>
    <t>Sensys nakładany z tłumieniem</t>
  </si>
  <si>
    <t>Sensys ráütődő csillapítós</t>
  </si>
  <si>
    <t>Sensys polonaložený tlmený</t>
  </si>
  <si>
    <t>Sensys półnakładany z tłumieniem</t>
  </si>
  <si>
    <t>Sensys vložený tlmený</t>
  </si>
  <si>
    <t>Sensys wpuszczany z tłumieniem</t>
  </si>
  <si>
    <t>Sensys príložný tlmený</t>
  </si>
  <si>
    <t>Sensys równoległy z tłumieniem</t>
  </si>
  <si>
    <t>Sensys hozzáilleszthető csillapítós</t>
  </si>
  <si>
    <t>Sensys naložený netlmený</t>
  </si>
  <si>
    <t>Sensys nakładany bez tłumienia</t>
  </si>
  <si>
    <t>Sensys ráütődő csillapító nélkül</t>
  </si>
  <si>
    <t>Intermat nakładany</t>
  </si>
  <si>
    <t>Intermat ráütődő</t>
  </si>
  <si>
    <t>Intermat nakładany 125°</t>
  </si>
  <si>
    <t>Intermat ráütődő 125°</t>
  </si>
  <si>
    <t>Intermat półnakładany</t>
  </si>
  <si>
    <t>Intermat wpuszczany</t>
  </si>
  <si>
    <t>Intermat príložný</t>
  </si>
  <si>
    <t>Intermat równoległy</t>
  </si>
  <si>
    <t>Intermat hozzáilleszthető</t>
  </si>
  <si>
    <t>Sensys naložený bez tlmenia</t>
  </si>
  <si>
    <t>Sensys vložený bez tlmenia</t>
  </si>
  <si>
    <t>Sensys wpuszczany bez tłumienia</t>
  </si>
  <si>
    <t>prowadnik na wkręt</t>
  </si>
  <si>
    <t>csavar alátét</t>
  </si>
  <si>
    <t>prowadnik na Eurowkręt</t>
  </si>
  <si>
    <t>Eurocsavar alátét</t>
  </si>
  <si>
    <t>podložka na rozpernú hmoždinku</t>
  </si>
  <si>
    <t>prowadnik z kołkiem rozporowym</t>
  </si>
  <si>
    <t>beütőtipli alátét</t>
  </si>
  <si>
    <t>naložený s tlmením clip 110°</t>
  </si>
  <si>
    <t>nakładany z tłumieniem clip 110°</t>
  </si>
  <si>
    <t>polonaložený s tlmením clip 110°</t>
  </si>
  <si>
    <t>półnakładany z tłumieniem clip 110°</t>
  </si>
  <si>
    <t>vložený s tlmením clip 110°</t>
  </si>
  <si>
    <t>wpuszczany z tłumieniem clip 110°</t>
  </si>
  <si>
    <t>naložený bez tlmenia clip 110°</t>
  </si>
  <si>
    <t>nakładany bez tłumienia clip 110°</t>
  </si>
  <si>
    <t>polonaložený bez tlmenia clip 110°</t>
  </si>
  <si>
    <t>półnakładany bez tłumienia clip 110°</t>
  </si>
  <si>
    <t>vložený bez tlmenia clip 110°</t>
  </si>
  <si>
    <t>wpuszczany bez tłumienia clip 110°</t>
  </si>
  <si>
    <t>nakładany TIP-ON clip 110°</t>
  </si>
  <si>
    <t>półnakładany TIP-ON clip 110°</t>
  </si>
  <si>
    <t>wpuszczany TIP-ON clip 110°</t>
  </si>
  <si>
    <t>naložený s tlmením clip 95°</t>
  </si>
  <si>
    <t>nakładany z tłumieniem clip 95°</t>
  </si>
  <si>
    <t>polonaložený s tlmením clip 95°</t>
  </si>
  <si>
    <t>półnakładany z tłumieniem clip 95°</t>
  </si>
  <si>
    <t>vložený s tlmením clip 95°</t>
  </si>
  <si>
    <t>wpuszczany z tłumieniem clip 95°</t>
  </si>
  <si>
    <t>nakładany TIP-ON clip 95°</t>
  </si>
  <si>
    <t>nakładany TIP-ON clip 120°</t>
  </si>
  <si>
    <t>naložený k nasunutiu</t>
  </si>
  <si>
    <t>nakładany nasuwany</t>
  </si>
  <si>
    <t>polonaložený k nasunutiu</t>
  </si>
  <si>
    <t>półnakładany nasuwany</t>
  </si>
  <si>
    <t>vložený k nasunutiu</t>
  </si>
  <si>
    <t>wpuszczany nasuwany</t>
  </si>
  <si>
    <t>STRONG 30N biely Automatický</t>
  </si>
  <si>
    <t>STRONG 30N biały Automatyczny</t>
  </si>
  <si>
    <t xml:space="preserve">STRONG 30N fehér automatikus </t>
  </si>
  <si>
    <t>STRONG 60N biely Automatický</t>
  </si>
  <si>
    <t>STRONG 60N biały Automatyczny</t>
  </si>
  <si>
    <t>STRONG 60N fehér automatikus</t>
  </si>
  <si>
    <t>STRONG 80N biely Automatický</t>
  </si>
  <si>
    <t>STRONG 80N biały Automatyczny</t>
  </si>
  <si>
    <t>STRONG 80N fehér automatikus</t>
  </si>
  <si>
    <t>STRONG 100N biely Automatický</t>
  </si>
  <si>
    <t>STRONG 100N biały Automatyczny</t>
  </si>
  <si>
    <t>STRONG 100N fehér automatikus</t>
  </si>
  <si>
    <t>STRONG 120N biely Automatický</t>
  </si>
  <si>
    <t>STRONG 120N biały Automatyczny</t>
  </si>
  <si>
    <t>STRONG 120N fehér automatikus</t>
  </si>
  <si>
    <t>STRONG 60N biely Polohovací</t>
  </si>
  <si>
    <t>STRONG 60N biały do pozycjonowania</t>
  </si>
  <si>
    <t>STRONG 60N fehér állítható</t>
  </si>
  <si>
    <t>STRONG 80N biely Polohovací</t>
  </si>
  <si>
    <t>STRONG 80N biały do pozycjonowania</t>
  </si>
  <si>
    <t>STRONG 80N fehér állítható</t>
  </si>
  <si>
    <t>STRONG 100N biely Polohovací</t>
  </si>
  <si>
    <t>STRONG 100N biały do pozycjonowania</t>
  </si>
  <si>
    <t>STRONG 100N fehér állítható</t>
  </si>
  <si>
    <t>STRONG 120N biely Polohovací</t>
  </si>
  <si>
    <t>STRONG 120N biały do pozycjonowania</t>
  </si>
  <si>
    <t>STRONG 120N fehér állítható</t>
  </si>
  <si>
    <t>STRONG 30N szary Automatyczny</t>
  </si>
  <si>
    <t>STRONG 30N szürke automatikus</t>
  </si>
  <si>
    <t>STRONG 60N szary Automatyczny</t>
  </si>
  <si>
    <t>STRONG 60N szürke automatikus</t>
  </si>
  <si>
    <t>STRONG 80N szary Automatyczny</t>
  </si>
  <si>
    <t>STRONG 80N szürke automatikus</t>
  </si>
  <si>
    <t>STRONG 100N szary Automatyczny</t>
  </si>
  <si>
    <t>STRONG 100N szürke automatikus</t>
  </si>
  <si>
    <t>STRONG 120N szary Automatyczny</t>
  </si>
  <si>
    <t>STRONG 120N szürke  automatikus</t>
  </si>
  <si>
    <t>STRONG 60N szary do pozycjonowania</t>
  </si>
  <si>
    <t>STRONG 60N szürke állítható</t>
  </si>
  <si>
    <t>STRONG 80N szary do pozycjonowania</t>
  </si>
  <si>
    <t>STRONG 80N szürke állítható</t>
  </si>
  <si>
    <t>STRONG 100N szary do pozycjonowania</t>
  </si>
  <si>
    <t>STRONG 100N szürke állítható</t>
  </si>
  <si>
    <t>STRONG 120N szary do pozycjonowania</t>
  </si>
  <si>
    <t>STRONG 120N szürke állítható</t>
  </si>
  <si>
    <t>STRONG spodný biely</t>
  </si>
  <si>
    <t>STRONG dolny biały</t>
  </si>
  <si>
    <t>STRONG alsó fehér</t>
  </si>
  <si>
    <t>STRONG spodný šedý</t>
  </si>
  <si>
    <t>STRONG dolny szary</t>
  </si>
  <si>
    <t>STRONG alsó szürke</t>
  </si>
  <si>
    <t>KRABY 164 spodný</t>
  </si>
  <si>
    <t>KRABY 164 dolny</t>
  </si>
  <si>
    <t>Gázrugós nyitószerkezet 164 alsó rögzítésű-Kraby</t>
  </si>
  <si>
    <t>KRABY 244 spodný</t>
  </si>
  <si>
    <t>KRABY 244 dolny</t>
  </si>
  <si>
    <t>Gázrugós nyitószerkezet 244 alsó rögzítésű-Kraby</t>
  </si>
  <si>
    <t>KRABY 355 spodný</t>
  </si>
  <si>
    <t>KRABY 355 dolny</t>
  </si>
  <si>
    <t>Gázrugós nyitószerkezet 355 alsó rögzítésű-Kraby</t>
  </si>
  <si>
    <t>k nasunutiu na vrut H0</t>
  </si>
  <si>
    <t>nasuwany na wkręt H0</t>
  </si>
  <si>
    <t>k nasunutiu EURO skrutka H0</t>
  </si>
  <si>
    <t>nasuwany EURO wkręt H0</t>
  </si>
  <si>
    <t>k nasunutiu na vrut H2</t>
  </si>
  <si>
    <t>nasuwany na wkręt H2</t>
  </si>
  <si>
    <t>Rátolhatós  csavar H2</t>
  </si>
  <si>
    <t>k nasunutiu EURO skrutka H2</t>
  </si>
  <si>
    <t>nasuwany EURO wkręt H2</t>
  </si>
  <si>
    <t>Clip vrut s excentrom H0</t>
  </si>
  <si>
    <t>Clip wkręt z mimośrodem H0</t>
  </si>
  <si>
    <t>Uvedené nákresy dvierok sú znázornené pri pohľade z prednej strany.</t>
  </si>
  <si>
    <t>Umiestnenie ramena</t>
  </si>
  <si>
    <t>Kar elhelyezése</t>
  </si>
  <si>
    <t>Minimální možný rozměr rámečku je 140x140mm</t>
  </si>
  <si>
    <t>Minimálny možný rozmer rámčeka je 140x140mm</t>
  </si>
  <si>
    <t>Minimalny rozmiar ramek wynosi 140x140mm</t>
  </si>
  <si>
    <t>A keret lehetséges minimális mérete 140x140mm</t>
  </si>
  <si>
    <t xml:space="preserve">Sensys SiSy naložený </t>
  </si>
  <si>
    <t xml:space="preserve">Sensys SiSy polonaložený </t>
  </si>
  <si>
    <t xml:space="preserve">Sensys SiSy vložený </t>
  </si>
  <si>
    <t xml:space="preserve">Sensys P2o naložený </t>
  </si>
  <si>
    <t xml:space="preserve">Sensys P2o polonaložený </t>
  </si>
  <si>
    <t xml:space="preserve">Sensys P2o vložený </t>
  </si>
  <si>
    <t>Sensys naložený P2O</t>
  </si>
  <si>
    <t>naložený s tlumením clip 110°, ONYX</t>
  </si>
  <si>
    <t>polonaložený s tlumením clip 110°, ONYX</t>
  </si>
  <si>
    <t>vložený s tlumením clip 110°, ONYX</t>
  </si>
  <si>
    <t>naložený 95°, Onyx</t>
  </si>
  <si>
    <t>Satinato grafit</t>
  </si>
  <si>
    <t>Venus VG10</t>
  </si>
  <si>
    <t>Stopsol bronz</t>
  </si>
  <si>
    <t>Značka</t>
  </si>
  <si>
    <t>Sensys SiSy nakładany</t>
  </si>
  <si>
    <t>Sensys SiSy ráütődő</t>
  </si>
  <si>
    <t>Sensys P2o nakładany</t>
  </si>
  <si>
    <t>Sensys P2o ráütődő</t>
  </si>
  <si>
    <t>naložený s tlmením clip 110° ONYX</t>
  </si>
  <si>
    <t>nakładany z tłumieniem clip 110° ONYX</t>
  </si>
  <si>
    <t>polonaložený s tlmením clip 110° ONYX</t>
  </si>
  <si>
    <t>półnakładany z tłumieniem clip 110° ONYX</t>
  </si>
  <si>
    <t>Sensys SiSy półnakładany</t>
  </si>
  <si>
    <t>Sensys P2o półnakładany</t>
  </si>
  <si>
    <t>naložený clip 95° Onyx</t>
  </si>
  <si>
    <t>nakładany clip 95° Onyx</t>
  </si>
  <si>
    <t>ráütődő klip csillapítós 110°</t>
  </si>
  <si>
    <t>ráütődő klip csillapító nélkül 110°</t>
  </si>
  <si>
    <t>ráütődő TIP-ON klip 110°</t>
  </si>
  <si>
    <t xml:space="preserve">ráütődő csillapítós klip 95° </t>
  </si>
  <si>
    <t>ráütődő TIP-ON klip 95°</t>
  </si>
  <si>
    <t>ráütődő TIP-ON klip 120°</t>
  </si>
  <si>
    <t>ráütődő csillapítós klip 110° ONYX</t>
  </si>
  <si>
    <t>ráütődő klip 95° Onyx</t>
  </si>
  <si>
    <t xml:space="preserve">Sensys SiSy Vložený </t>
  </si>
  <si>
    <t xml:space="preserve">Sensys SiSy wpuszczany </t>
  </si>
  <si>
    <t xml:space="preserve">Sensys P2o Vložený </t>
  </si>
  <si>
    <t xml:space="preserve">Sensys P2o wpuszczany </t>
  </si>
  <si>
    <t>vložený s tlmením clip 110° Onyx</t>
  </si>
  <si>
    <t>wpuszczany z tłumieniem clip 110° Onyx</t>
  </si>
  <si>
    <t>közézáródó klip csillapító nélkül 110°</t>
  </si>
  <si>
    <t>Excentes klipes csavar H0</t>
  </si>
  <si>
    <t>Úvod</t>
  </si>
  <si>
    <t>Wprowadzenie</t>
  </si>
  <si>
    <t>STRONG s tlmením</t>
  </si>
  <si>
    <t>STRONG z tłumieniem</t>
  </si>
  <si>
    <t>STRONG csillapítós</t>
  </si>
  <si>
    <t>STRONG bez tlmení</t>
  </si>
  <si>
    <t>STRONG  bez tłumienia</t>
  </si>
  <si>
    <t>STRONG csillapító nélkül</t>
  </si>
  <si>
    <t>Maximální možný rozměr rámečku Corleone je 1500x600mm</t>
  </si>
  <si>
    <t>Maximálny možný rozmer rámčeku Corleone je 1500x600mm</t>
  </si>
  <si>
    <t>Maksymalne wymiary ramki Corleone to 1500x600mm</t>
  </si>
  <si>
    <t>a keret maximális mérete Corleone 1500x600mm</t>
  </si>
  <si>
    <t>Vivaro černá mat</t>
  </si>
  <si>
    <t>BRW černá mat</t>
  </si>
  <si>
    <t>Zrcadlo hnědé</t>
  </si>
  <si>
    <t>Zrcadlo grafit</t>
  </si>
  <si>
    <t>Zrkadlo grafit</t>
  </si>
  <si>
    <t>Lustro grafit</t>
  </si>
  <si>
    <t>Tükör grafit</t>
  </si>
  <si>
    <t>Krizet</t>
  </si>
  <si>
    <t>Satinato hnedé</t>
  </si>
  <si>
    <t>Satinato barna</t>
  </si>
  <si>
    <t>Zrkadlo hnedé</t>
  </si>
  <si>
    <t>Satinato brązowe</t>
  </si>
  <si>
    <t>Stopsol brąz</t>
  </si>
  <si>
    <t>Lustro brązowe</t>
  </si>
  <si>
    <t>Tükör barna</t>
  </si>
  <si>
    <t>Matelac zrkadlo strieb.</t>
  </si>
  <si>
    <t>Matelac lustro srebrny</t>
  </si>
  <si>
    <t>Matelac tükör ezüst</t>
  </si>
  <si>
    <t>Bizonyos típusú fogantyúknál a csavarmenet süllyesztve van, ezért megfelelő távtartót kell használni.</t>
  </si>
  <si>
    <t>Vasalat</t>
  </si>
  <si>
    <t>Standardowe wiercenie pod puszkę zawiasu wynosi 3mm od krawędzi.</t>
  </si>
  <si>
    <t>Podane ceny nie zawierają podatku VAT ani nie zawierają ceny okuć!</t>
  </si>
  <si>
    <t>Wpisz wartość jeśli wiercenie nie ma być wykonane symetrycznie (na środku )</t>
  </si>
  <si>
    <t>Podgląd kolorów RAL i REF jest orientacyjny !!!</t>
  </si>
  <si>
    <t>Standardowe wiercenia pod wszystkie zawiasy w Aventosie HF wynosi 100mm od krawędzi.</t>
  </si>
  <si>
    <t>Do zamocowania okuć do ramki aluminiowej należy stosować specjalnie do tego przeznaczone wkręty (np. kod 13681)</t>
  </si>
  <si>
    <t>W jednym formularzu możemy wybrać różne rodzaje i wymiary ramek. Przed odesłaniem zamówienia należy sprawdzić poprawność wprowadzonych parametrów.</t>
  </si>
  <si>
    <t>Pokud je úchytka připevněna skrz sklo, je nutné vždy použít distanční podložku (např. 144516, 191970, C0315)</t>
  </si>
  <si>
    <t>Ak je úchytka pripevnená cez sklo, je nutné vždy použiť distančnú podložku (napr. 144516, 191970, C0315).</t>
  </si>
  <si>
    <t>Jeśli uchwyt będzie zamocowany w wierceniach w szkle, należy zastosować podkładkę dystansową (np. kod 144516, 191970, C0315)</t>
  </si>
  <si>
    <t>Amennyiben a fogantyú az üvegen keresztül van rögzítve, mindig távtartó gyűrűt kell használni (péld. kód 144516, 191970, C0315).</t>
  </si>
  <si>
    <t>AVENTOS HK TOP</t>
  </si>
  <si>
    <t>AVENTOS HK TOP Servo Drive</t>
  </si>
  <si>
    <t>AVENTOS HK TOP TIP ON</t>
  </si>
  <si>
    <t>Satinato brown</t>
  </si>
  <si>
    <t>Satinato graphite</t>
  </si>
  <si>
    <t>Stopsol bronze</t>
  </si>
  <si>
    <t>Antisol bronze</t>
  </si>
  <si>
    <t>Antisol graphite</t>
  </si>
  <si>
    <t>Mirror</t>
  </si>
  <si>
    <t>Mirror brown</t>
  </si>
  <si>
    <t>Master Point</t>
  </si>
  <si>
    <t>Matelac mirror bronze</t>
  </si>
  <si>
    <t>Matelac mirror graphite</t>
  </si>
  <si>
    <t>Rámeček</t>
  </si>
  <si>
    <t>Rámček</t>
  </si>
  <si>
    <t>Quantity</t>
  </si>
  <si>
    <t>Width</t>
  </si>
  <si>
    <t>Height</t>
  </si>
  <si>
    <t>Total price of frames</t>
  </si>
  <si>
    <t>Inset</t>
  </si>
  <si>
    <t>Increased by 6 mm</t>
  </si>
  <si>
    <t>Right</t>
  </si>
  <si>
    <t>Left</t>
  </si>
  <si>
    <t>2 Pieces (both sides)</t>
  </si>
  <si>
    <t>Customer</t>
  </si>
  <si>
    <t>Discount on frames</t>
  </si>
  <si>
    <t>Discount on fittings</t>
  </si>
  <si>
    <t>Sliding frames</t>
  </si>
  <si>
    <t>Number of doors</t>
  </si>
  <si>
    <t>Handle weight (g)</t>
  </si>
  <si>
    <t>Bottom</t>
  </si>
  <si>
    <t>export@demos-trade.com</t>
  </si>
  <si>
    <t>Profile drawings</t>
  </si>
  <si>
    <t>STRONG 30N white Automatic</t>
  </si>
  <si>
    <t>STRONG 60N white Automatic</t>
  </si>
  <si>
    <t>STRONG 80N white Automatic</t>
  </si>
  <si>
    <t>STRONG 100N white Automatic</t>
  </si>
  <si>
    <t>STRONG 120N white Automatic</t>
  </si>
  <si>
    <t>STRONG 60N grey Automatic</t>
  </si>
  <si>
    <t>STRONG 100N grey Automatic</t>
  </si>
  <si>
    <t>STRONG 120N grey Automatic</t>
  </si>
  <si>
    <t>The minimum possible frame size is 140x140mm</t>
  </si>
  <si>
    <t>Main page</t>
  </si>
  <si>
    <t>Frame</t>
  </si>
  <si>
    <t>Ramka</t>
  </si>
  <si>
    <t>Dva různé profily</t>
  </si>
  <si>
    <t>Szprosy</t>
  </si>
  <si>
    <t>Folie</t>
  </si>
  <si>
    <t>Závěsy k výklopům</t>
  </si>
  <si>
    <t>Profily</t>
  </si>
  <si>
    <t>Úzky (1) / Široký (2)?</t>
  </si>
  <si>
    <t>Název kombinace</t>
  </si>
  <si>
    <t>Profily boční</t>
  </si>
  <si>
    <t>Profily nahoře a dole</t>
  </si>
  <si>
    <t>Lze panty nalevo / napravo?</t>
  </si>
  <si>
    <t>Rozložení</t>
  </si>
  <si>
    <t>Typ folie</t>
  </si>
  <si>
    <t>Kod</t>
  </si>
  <si>
    <t>Typ</t>
  </si>
  <si>
    <t>Dovybrat závěs?</t>
  </si>
  <si>
    <t>Typ ALU</t>
  </si>
  <si>
    <t>Typ závěsu</t>
  </si>
  <si>
    <t>Typ podložky - skupina</t>
  </si>
  <si>
    <t>Provedení</t>
  </si>
  <si>
    <t>Varna + Siena</t>
  </si>
  <si>
    <t>Varna</t>
  </si>
  <si>
    <t>Vertikálně</t>
  </si>
  <si>
    <t>Transparentní</t>
  </si>
  <si>
    <t>Blum</t>
  </si>
  <si>
    <t>Horizontálně</t>
  </si>
  <si>
    <t>Bílá</t>
  </si>
  <si>
    <t>Varna + Palio</t>
  </si>
  <si>
    <t>Horizontálně i vertikálně</t>
  </si>
  <si>
    <t>Černá</t>
  </si>
  <si>
    <t>Aventos HK-XS</t>
  </si>
  <si>
    <t>MDF 16 mm</t>
  </si>
  <si>
    <t>MDF 18 mm</t>
  </si>
  <si>
    <t>Varna + Rocca</t>
  </si>
  <si>
    <t>FREElight</t>
  </si>
  <si>
    <t>DTDL 18 mm</t>
  </si>
  <si>
    <t xml:space="preserve">Kesseböhmer </t>
  </si>
  <si>
    <t>FREEfold</t>
  </si>
  <si>
    <t>FREEspace</t>
  </si>
  <si>
    <t>Duo</t>
  </si>
  <si>
    <t>FREEflap</t>
  </si>
  <si>
    <t>FREEslide</t>
  </si>
  <si>
    <t>Duo Forte</t>
  </si>
  <si>
    <t>FREEswing</t>
  </si>
  <si>
    <t>Maxi</t>
  </si>
  <si>
    <t>K12</t>
  </si>
  <si>
    <t>ITALIANA ferramenta</t>
  </si>
  <si>
    <t>Spodní K12</t>
  </si>
  <si>
    <t>Kraby</t>
  </si>
  <si>
    <t>Spodní Kraby</t>
  </si>
  <si>
    <t>Kiaro</t>
  </si>
  <si>
    <t>Link</t>
  </si>
  <si>
    <t>Automatická vzpěra</t>
  </si>
  <si>
    <t>Polohovací vzpěra</t>
  </si>
  <si>
    <t>Hettich</t>
  </si>
  <si>
    <t>LiftMini</t>
  </si>
  <si>
    <t>Výběr skla</t>
  </si>
  <si>
    <t>K nalepení</t>
  </si>
  <si>
    <t>Kalené</t>
  </si>
  <si>
    <t>Vše</t>
  </si>
  <si>
    <t>Úzky (1) / Široký (2) - panty</t>
  </si>
  <si>
    <t>k nalepení - typ skla</t>
  </si>
  <si>
    <t>Výsledek dle volby profilu</t>
  </si>
  <si>
    <t>Lepení</t>
  </si>
  <si>
    <t>Kalené lepené</t>
  </si>
  <si>
    <t>Folie lepení</t>
  </si>
  <si>
    <t>uprava</t>
  </si>
  <si>
    <t>lepení?</t>
  </si>
  <si>
    <t>A</t>
  </si>
  <si>
    <t>_N1</t>
  </si>
  <si>
    <t>_A1</t>
  </si>
  <si>
    <t>_N2</t>
  </si>
  <si>
    <t>_A2</t>
  </si>
  <si>
    <t>_N3</t>
  </si>
  <si>
    <t>_A3</t>
  </si>
  <si>
    <t>Kombinace 2 profilů</t>
  </si>
  <si>
    <t>Rámeček složený ze dvou různých profilů</t>
  </si>
  <si>
    <t>Značka kování</t>
  </si>
  <si>
    <t>Varianta kování</t>
  </si>
  <si>
    <t>_vyklopy_blum</t>
  </si>
  <si>
    <t>_vyklopy_hettich</t>
  </si>
  <si>
    <t>_vyklopy_italiana</t>
  </si>
  <si>
    <t>_vyklopy_kesse</t>
  </si>
  <si>
    <t>_Výklopy_Blum</t>
  </si>
  <si>
    <t>_Výklopy_Hettich</t>
  </si>
  <si>
    <t xml:space="preserve">_Výklopy_Kesseböhmer </t>
  </si>
  <si>
    <t>_Výklopy_ITALIANA ferramenta</t>
  </si>
  <si>
    <t>Závěs Hettich 1</t>
  </si>
  <si>
    <t>Závěs Hettich 2</t>
  </si>
  <si>
    <t>Závěs Hettich 3</t>
  </si>
  <si>
    <t>Závěs Hettich 4</t>
  </si>
  <si>
    <t>Závěs Hettich 5</t>
  </si>
  <si>
    <t>Závěs Blum 1</t>
  </si>
  <si>
    <t>Závěs Blum 2</t>
  </si>
  <si>
    <t>Závěs Blum 3</t>
  </si>
  <si>
    <t>Závěs Blum 4</t>
  </si>
  <si>
    <t>Závěs Blum 5</t>
  </si>
  <si>
    <t>_Závěsy_Hettich</t>
  </si>
  <si>
    <t>_Závěsy_Blum</t>
  </si>
  <si>
    <t>_zavesy_hettich</t>
  </si>
  <si>
    <t>_zavesy_blum</t>
  </si>
  <si>
    <t>Umístění úchytky</t>
  </si>
  <si>
    <t>Rozteče úchytek</t>
  </si>
  <si>
    <t>korpusový závěs 13764</t>
  </si>
  <si>
    <t>podložka korpus 203387</t>
  </si>
  <si>
    <t>středový závěs 13765</t>
  </si>
  <si>
    <t>adaptér středového závěsu 13768</t>
  </si>
  <si>
    <t>adaptér teleskopu P 13767</t>
  </si>
  <si>
    <t>adaptér teleskopu L 13766</t>
  </si>
  <si>
    <t>naložený</t>
  </si>
  <si>
    <t>obyčejná</t>
  </si>
  <si>
    <t>korpusový závěs 12023</t>
  </si>
  <si>
    <t>středový závěs 12024</t>
  </si>
  <si>
    <t>podložka středová 12340</t>
  </si>
  <si>
    <t>podložky teleskopu 203387</t>
  </si>
  <si>
    <t>samořezný vrut alu 13681</t>
  </si>
  <si>
    <t>polonaložený</t>
  </si>
  <si>
    <t>s excentrem</t>
  </si>
  <si>
    <t>korpusový závěs 118033</t>
  </si>
  <si>
    <t>čelní kování alu 247131</t>
  </si>
  <si>
    <t>čep na korpus 247127</t>
  </si>
  <si>
    <t>vložený</t>
  </si>
  <si>
    <t>X</t>
  </si>
  <si>
    <t>korpusový závěs 12047</t>
  </si>
  <si>
    <t>čelní kování alu 247129</t>
  </si>
  <si>
    <t>vrut</t>
  </si>
  <si>
    <t>hettich tip-on 300285</t>
  </si>
  <si>
    <t>hettich úchytka 300279</t>
  </si>
  <si>
    <t>blum tip-on 12109</t>
  </si>
  <si>
    <t>blum úchytka 118033</t>
  </si>
  <si>
    <t>blum úchytka 12103+12391</t>
  </si>
  <si>
    <t>strong tip-on 350864</t>
  </si>
  <si>
    <t>strong úchytka 92584T</t>
  </si>
  <si>
    <t>tlumený</t>
  </si>
  <si>
    <t>eurošroub</t>
  </si>
  <si>
    <t>hettich tip-on 245723</t>
  </si>
  <si>
    <t>hettich úchytka 104717</t>
  </si>
  <si>
    <t>blum tip-on 226668</t>
  </si>
  <si>
    <t>blum úchytka 12047</t>
  </si>
  <si>
    <t>strong tip-on 350837</t>
  </si>
  <si>
    <t>strong úchytka 350827</t>
  </si>
  <si>
    <t>netlumený</t>
  </si>
  <si>
    <t>hmoždinka (jaká?)</t>
  </si>
  <si>
    <t>tip-on</t>
  </si>
  <si>
    <t>základní</t>
  </si>
  <si>
    <t>zvýšená (jak moc?)</t>
  </si>
  <si>
    <t>hettich spodní 300282</t>
  </si>
  <si>
    <t>hettich horní 300279</t>
  </si>
  <si>
    <t>blum spodní 12106</t>
  </si>
  <si>
    <t>blum horní 118033</t>
  </si>
  <si>
    <t>blum horní 12103+12391</t>
  </si>
  <si>
    <t>strong spodní 350863</t>
  </si>
  <si>
    <t>strong horní 350863</t>
  </si>
  <si>
    <t>strong horní 92584T</t>
  </si>
  <si>
    <t>hettich spodní 232346</t>
  </si>
  <si>
    <t>hettich horní 104717</t>
  </si>
  <si>
    <t>blum spodní 12052</t>
  </si>
  <si>
    <t>blum horní 12047</t>
  </si>
  <si>
    <t>strong spodní 350834</t>
  </si>
  <si>
    <t>strong horní 350827</t>
  </si>
  <si>
    <t>kimana 224888</t>
  </si>
  <si>
    <t>119043 HETTICH 41296 Šroub 3,5 x 9,5 mm DIN 7982 pro uchycení misky do (širokého) alu rámu</t>
  </si>
  <si>
    <t>13681 BLUM 660.0950 speciální vrut pro široké rámečky</t>
  </si>
  <si>
    <t>STRONG(+)</t>
  </si>
  <si>
    <t>typ alurámečku</t>
  </si>
  <si>
    <t>značka závěsu</t>
  </si>
  <si>
    <t>naložení dvířek</t>
  </si>
  <si>
    <t>typ závěsu</t>
  </si>
  <si>
    <t>závěs 95°</t>
  </si>
  <si>
    <t>závěs 110°</t>
  </si>
  <si>
    <t>závěs 120°</t>
  </si>
  <si>
    <t>úzký</t>
  </si>
  <si>
    <t>stříbrná</t>
  </si>
  <si>
    <t>-</t>
  </si>
  <si>
    <t>černá</t>
  </si>
  <si>
    <t>široký</t>
  </si>
  <si>
    <t>Vybrat závěs k výklopu</t>
  </si>
  <si>
    <t>Naložení</t>
  </si>
  <si>
    <t>Hlavní výběr - concat</t>
  </si>
  <si>
    <t>Duo_Forte</t>
  </si>
  <si>
    <t>Lift_Up</t>
  </si>
  <si>
    <t>Lift_exact</t>
  </si>
  <si>
    <t>Souhrn</t>
  </si>
  <si>
    <t>Keret</t>
  </si>
  <si>
    <t>Kombinácia 2 profilov</t>
  </si>
  <si>
    <t>Połączenie 2 profili</t>
  </si>
  <si>
    <t>2 profil kombinációja</t>
  </si>
  <si>
    <t>Dělící lišty</t>
  </si>
  <si>
    <t>Osztócsíkok</t>
  </si>
  <si>
    <t>Deliace lišty</t>
  </si>
  <si>
    <t>Značka kovania</t>
  </si>
  <si>
    <t>Marka okucia</t>
  </si>
  <si>
    <t>Wariant okucia</t>
  </si>
  <si>
    <t>Variant kovania</t>
  </si>
  <si>
    <t>Naloženie</t>
  </si>
  <si>
    <t>Ráütődés</t>
  </si>
  <si>
    <t>Závesy pre výklopy</t>
  </si>
  <si>
    <t>Umiestnenie úchytky</t>
  </si>
  <si>
    <t>Fogantyú helyzete</t>
  </si>
  <si>
    <t>Rozteč</t>
  </si>
  <si>
    <t>Rozstaw</t>
  </si>
  <si>
    <t>Távolság</t>
  </si>
  <si>
    <t>W górę</t>
  </si>
  <si>
    <t>Fel</t>
  </si>
  <si>
    <t>Navrchu</t>
  </si>
  <si>
    <t>Le</t>
  </si>
  <si>
    <t>Hartowane</t>
  </si>
  <si>
    <t>Edzett</t>
  </si>
  <si>
    <t>Módosítások nélkül</t>
  </si>
  <si>
    <t>Bez úprav</t>
  </si>
  <si>
    <t>Bez modyfikacji</t>
  </si>
  <si>
    <t>Folia</t>
  </si>
  <si>
    <t>Fólia</t>
  </si>
  <si>
    <t>Podnośniki</t>
  </si>
  <si>
    <t xml:space="preserve">Vasalatok </t>
  </si>
  <si>
    <t>Wpuszczany</t>
  </si>
  <si>
    <t>úzký_BLUM_Nakładany</t>
  </si>
  <si>
    <t>úzký_BLUM_Półnakładany</t>
  </si>
  <si>
    <t>úzký_BLUM_Wpuszczany</t>
  </si>
  <si>
    <t>úzký_HETTICH_Nakładany</t>
  </si>
  <si>
    <t>úzký_HETTICH_Półnakładany</t>
  </si>
  <si>
    <t>úzký_HETTICH_Wpuszczany</t>
  </si>
  <si>
    <t>úzký_STRONG_Nakładany</t>
  </si>
  <si>
    <t>úzký_STRONG PLUS_Nakładany</t>
  </si>
  <si>
    <t>široký_BLUM_Nakładany</t>
  </si>
  <si>
    <t>široký_BLUM_Półnakładany</t>
  </si>
  <si>
    <t>široký_BLUM_Wpuszczany</t>
  </si>
  <si>
    <t>široký_HETTICH_Nakładany</t>
  </si>
  <si>
    <t>široký_HETTICH_Półnakładany</t>
  </si>
  <si>
    <t>široký_HETTICH_Wpuszczany</t>
  </si>
  <si>
    <t>široký_STRONG_Nakładany</t>
  </si>
  <si>
    <t>široký_STRONG_Półnakładany</t>
  </si>
  <si>
    <t>široký_STRONG_Wpuszczany</t>
  </si>
  <si>
    <t>úzký_BLUM_Naložený</t>
  </si>
  <si>
    <t>úzký_BLUM_Polonaložený</t>
  </si>
  <si>
    <t>úzký_BLUM_Vložený</t>
  </si>
  <si>
    <t>úzký_HETTICH_Naložený</t>
  </si>
  <si>
    <t>úzký_HETTICH_Polonaložený</t>
  </si>
  <si>
    <t>úzký_HETTICH_Vložený</t>
  </si>
  <si>
    <t>úzký_STRONG_Naložený</t>
  </si>
  <si>
    <t>úzký_STRONG PLUS_Naložený</t>
  </si>
  <si>
    <t>široký_BLUM_Naložený</t>
  </si>
  <si>
    <t>široký_BLUM_Polonaložený</t>
  </si>
  <si>
    <t>široký_BLUM_Vložený</t>
  </si>
  <si>
    <t>široký_HETTICH_Naložený</t>
  </si>
  <si>
    <t>široký_HETTICH_Polonaložený</t>
  </si>
  <si>
    <t>široký_HETTICH_Vložený</t>
  </si>
  <si>
    <t>široký_STRONG_Naložený</t>
  </si>
  <si>
    <t>široký_STRONG_Polonaložený</t>
  </si>
  <si>
    <t>široký_STRONG_Vložený</t>
  </si>
  <si>
    <t>Ano</t>
  </si>
  <si>
    <t>Ne</t>
  </si>
  <si>
    <t>Igen</t>
  </si>
  <si>
    <t>Nem</t>
  </si>
  <si>
    <t>Nie</t>
  </si>
  <si>
    <t>Tak</t>
  </si>
  <si>
    <t>Áno</t>
  </si>
  <si>
    <t>Rámček zložený z dvoch rôznych profilov</t>
  </si>
  <si>
    <t>Két különböző profilból álló keret</t>
  </si>
  <si>
    <t>úzký_BLUM_Ráütődő</t>
  </si>
  <si>
    <t>úzký_HETTICH_Ráütődő</t>
  </si>
  <si>
    <t>úzký_STRONG_Ráütődő</t>
  </si>
  <si>
    <t>široký_BLUM_Ráütődő</t>
  </si>
  <si>
    <t>široký_HETTICH_Ráütődő</t>
  </si>
  <si>
    <t>široký_STRONG_Ráütődő</t>
  </si>
  <si>
    <t>Skla</t>
  </si>
  <si>
    <t>Cena</t>
  </si>
  <si>
    <t>Rozteč uch.</t>
  </si>
  <si>
    <t>Umistění uch.</t>
  </si>
  <si>
    <t xml:space="preserve">Počet ram. </t>
  </si>
  <si>
    <t>Vlevo a vpravo</t>
  </si>
  <si>
    <t>Nahoře a dole</t>
  </si>
  <si>
    <t>Kombinace dvou profilů</t>
  </si>
  <si>
    <t>Mezera mezi předěly musí být alespoň 100 mm.</t>
  </si>
  <si>
    <t>A válaszfalak közötti hézagnak legalább 100 mm-nek kell lennie.</t>
  </si>
  <si>
    <t>Medzera medzi predely musí byť aspoň 100 mm.</t>
  </si>
  <si>
    <t>Předěl</t>
  </si>
  <si>
    <t>Typ fólie</t>
  </si>
  <si>
    <t>Rodzaj folii</t>
  </si>
  <si>
    <t>Fólia típus</t>
  </si>
  <si>
    <t>transparentné</t>
  </si>
  <si>
    <t>biela</t>
  </si>
  <si>
    <t>čierna</t>
  </si>
  <si>
    <t>Átlátszó</t>
  </si>
  <si>
    <t>Fekete</t>
  </si>
  <si>
    <t>Kalení</t>
  </si>
  <si>
    <t>Broušení skla pro předěly</t>
  </si>
  <si>
    <t>_</t>
  </si>
  <si>
    <t>&lt;-</t>
  </si>
  <si>
    <t>Poč. široký</t>
  </si>
  <si>
    <t>Poč. úzký</t>
  </si>
  <si>
    <t>Dále</t>
  </si>
  <si>
    <t>Ďalšie</t>
  </si>
  <si>
    <t>Következő</t>
  </si>
  <si>
    <t>Podsumowanie</t>
  </si>
  <si>
    <t>Összegzés</t>
  </si>
  <si>
    <t>Súhrn</t>
  </si>
  <si>
    <t>Standardně jsou rámečky připraveny pro posuvné kování H27AL (nosnost 25 kg na rámeček) a H37AL (nosnost 35 kg na rámeček).</t>
  </si>
  <si>
    <t>Štandardne sú rámčeky pripravené pre posuvné kovanie H27AL (nosnosť 25 kg na rámček) a H37AL (nosnosť 35 kg na rámček).</t>
  </si>
  <si>
    <t>Cena za posuvné rámečky je shodná jako cena za běžné rámečky.</t>
  </si>
  <si>
    <t>Siena černá (Vlevo a vpravo) + Varna černá (Nahoře a dole)</t>
  </si>
  <si>
    <t>Siena čierna (Vľavo a vpravo) + Varna čierna (Hore a dole)</t>
  </si>
  <si>
    <t>Siena fekete (bal és jobb) + Várna fekete (felső és alsó)</t>
  </si>
  <si>
    <t>Rocca černá (Vlevo a vpravo) + Varna černá (Nahoře a dole)</t>
  </si>
  <si>
    <t>Rocca čierna (Vľavo a vpravo) + Varna čierna (Hore a dole)</t>
  </si>
  <si>
    <t>Rocca czarny (lewa i prawa) + Varna czarny (góra i dół)</t>
  </si>
  <si>
    <t>Rocca fekete (bal és jobb) + Várna fekete (felső és alsó)</t>
  </si>
  <si>
    <t>A pánttál- nyílásokat szabvány szerint a keret élétől 3mm-re marjuk be</t>
  </si>
  <si>
    <t>Az feltüntetett árak ÁFA nélkül vannak megadva és nem tartalmazzák a szükséges vasalatok árát!</t>
  </si>
  <si>
    <t>Darabszám</t>
  </si>
  <si>
    <t>Aventos - egyéb</t>
  </si>
  <si>
    <t>Pántok gázrugós dugattyúval</t>
  </si>
  <si>
    <t>Félig ráütődő klip</t>
  </si>
  <si>
    <t>Közézáródó klip</t>
  </si>
  <si>
    <t>Félig ráütődő</t>
  </si>
  <si>
    <t>Közézáródó</t>
  </si>
  <si>
    <t>Közézáródó ellenrugóval</t>
  </si>
  <si>
    <t>Közézáródó integr. Blumotionnal</t>
  </si>
  <si>
    <t>45° clip Félig ráütődő</t>
  </si>
  <si>
    <t>45° klip</t>
  </si>
  <si>
    <t>Az Aventos típusa</t>
  </si>
  <si>
    <t>Gázrugós felnyílók</t>
  </si>
  <si>
    <t>Szállítás a kiválasztott vasalatokkal</t>
  </si>
  <si>
    <t>A másik ajtó kivitelezése</t>
  </si>
  <si>
    <t>LFFL vastagság 18 mm</t>
  </si>
  <si>
    <t xml:space="preserve">A nyomtatvány kitöltésénél mindig haladjon fentről lefelé. Amennyiben bármilyen változtatást hajt végre a nyomtatványon, ellenőrizze az összes adatot, hogy rendben vannak-e. </t>
  </si>
  <si>
    <t>Ábrázolt  RAL és REF színek csak tájékoztató jellegűek !!!</t>
  </si>
  <si>
    <t>AVENTOS HK-S</t>
  </si>
  <si>
    <t>A megrendelés alapértelmezetten a vasalattal és a vezető profilokkal együtt kerül kiszállításra</t>
  </si>
  <si>
    <t>Itt vannak megadva az ajtó standard átnyúlásai</t>
  </si>
  <si>
    <t>AVENTOS HK-S TIP ON</t>
  </si>
  <si>
    <t>A nyílások szabványos fúrása pántok részére minden típusú Aventos HF vasalatnál 100 mm az éltől</t>
  </si>
  <si>
    <t>Mindig használja a legfrissebb megrendelő lapot, amelyet megtalál a weboldalunkon.</t>
  </si>
  <si>
    <t>Az összes Lacobal és Matelac üveget biztonsági fóliával lehet ellátni (amennyiben szükséges, kérjük beírni a megjegyzésbe)</t>
  </si>
  <si>
    <t>A nagy méretű keretekhez ( nagy méret 1200 x 800 mm felett), felárat számolhatunk fel a speciális csomagolásért és szállításért (részletesebb információért forduljon ügyfélközpontunkhoz).</t>
  </si>
  <si>
    <t>Az üveg minták megrendelhetőek: Lacobel kód VZK003P és Matelac kód VZK004P.</t>
  </si>
  <si>
    <t>A beadott ajtórajzok elölnézetben vannak megjelenítve.</t>
  </si>
  <si>
    <t>Sensys félig ráütődő csillapítós</t>
  </si>
  <si>
    <t>Sensys közézáródó csillapítós</t>
  </si>
  <si>
    <t>Intermat félig ráütődő</t>
  </si>
  <si>
    <t>Intermat közézáródó</t>
  </si>
  <si>
    <t>Sensys közézáródó csillapító nélkül</t>
  </si>
  <si>
    <t>félig ráütődő klip csillapítós 110°</t>
  </si>
  <si>
    <t>közézáródó klip csillapítós 110°</t>
  </si>
  <si>
    <t>félig ráütődő klip csillapító nélkül 110°</t>
  </si>
  <si>
    <t>félig ráütődő TIP-ON klip 110°</t>
  </si>
  <si>
    <t>közézáródó TIP-ON klip 110°</t>
  </si>
  <si>
    <t>félig ráütődő csillapítós klip 95°</t>
  </si>
  <si>
    <t>közézáródó csillapítós klip 95°</t>
  </si>
  <si>
    <t>ráütődő slide on</t>
  </si>
  <si>
    <t>félig ráütődő slide on</t>
  </si>
  <si>
    <t>közézáródó slide on</t>
  </si>
  <si>
    <t>H0 csavar slide on</t>
  </si>
  <si>
    <t>Euro csavar  H0 slide on</t>
  </si>
  <si>
    <t xml:space="preserve">Euro csavar  H2 slide on </t>
  </si>
  <si>
    <t>Sensys SiSy félig ráütődő</t>
  </si>
  <si>
    <t>Sensys SiSy közézáródó</t>
  </si>
  <si>
    <t>Sensys P2o félig ráütődő</t>
  </si>
  <si>
    <t>Sensys P2o közézáródó</t>
  </si>
  <si>
    <t>félig ráütődő csillapítós klip 110° ONYX</t>
  </si>
  <si>
    <t>közézáródó csillapítós klip 110° Onyx</t>
  </si>
  <si>
    <t>Bevezetés</t>
  </si>
  <si>
    <t>Szerelvények gyártója</t>
  </si>
  <si>
    <t>Szerelvények típusa</t>
  </si>
  <si>
    <t>Pántok felnyíló vasalatokhoz</t>
  </si>
  <si>
    <t>Fehér</t>
  </si>
  <si>
    <t>Alapkivitelben a keretek a H27AL (teherbírás 25 keret / keret) és a H37AL (teherbírás 35 kg / keret) csúszó szerelvényekhez vannak felkészítve.</t>
  </si>
  <si>
    <t>Standardowo ościeżnice przygotowane są pod okucia przesuwne H27AL (nośność 25 kg na ościeżnicę) i H37AL (nośność 35 kg na ościeżnicę).</t>
  </si>
  <si>
    <t>Cena za ramy przesuwne jest taka sama jak cena za zwykłe ramy.</t>
  </si>
  <si>
    <t>A csúszó keretek ára megegyezik a közönséges keretek árával.</t>
  </si>
  <si>
    <t>Zawias z podnośnikiem gazowym</t>
  </si>
  <si>
    <t>Półnakładany ze zintegrowanym Blumotionem</t>
  </si>
  <si>
    <t>Wpuszczany ze zintegrowanym Blumotionem</t>
  </si>
  <si>
    <t>Podwyższenie o 6mm</t>
  </si>
  <si>
    <t>Wybierz pozycję ramki</t>
  </si>
  <si>
    <t>W dół</t>
  </si>
  <si>
    <t>Płyta melaminowana grubość 18mm</t>
  </si>
  <si>
    <t xml:space="preserve">Ilość drzwi </t>
  </si>
  <si>
    <t>Nakładany ze zintegrowanym Blumotionem</t>
  </si>
  <si>
    <t>W przypadku niektórych typów uchwytów gwinty do wkrętów są wpuszczone i należy zastosować odpowiednie podkładki dystansowe.</t>
  </si>
  <si>
    <t>Szczelina między szprosami musi wynosić co najmniej 100 mm.</t>
  </si>
  <si>
    <t>Na prośbę klienta można dostarczyć ramki o maksymalnej długości profilu 3m. Rozmiar maksymalny szkła wynosi 2500 x 1300 mm.</t>
  </si>
  <si>
    <t>Wszystkie szkła Lacobel i Matelac można podkleić folią bezpieczną (należy dopisać taką informację w notatce)</t>
  </si>
  <si>
    <t>Przed odesłaniem zamówienia należy sprawdzić czy nie przekroczone zostały maksymalne wymiary ramki względem zastosowanego okucia. Formularz nie ma ustawionych ograniczeń.</t>
  </si>
  <si>
    <t>Podane rysunki techniczne frontów przedstawione są z przodu.</t>
  </si>
  <si>
    <t>Umieszczenie ramienia</t>
  </si>
  <si>
    <t>Nałożenie</t>
  </si>
  <si>
    <t>Zawiasy do podnośników</t>
  </si>
  <si>
    <t>Umieszczenie uchwytu</t>
  </si>
  <si>
    <t>Ramka złożona z dwóch różnych profili</t>
  </si>
  <si>
    <t>transparentna</t>
  </si>
  <si>
    <t>Biała</t>
  </si>
  <si>
    <t>czarna</t>
  </si>
  <si>
    <t>Kolejne</t>
  </si>
  <si>
    <t>Zpět</t>
  </si>
  <si>
    <t>Vissza</t>
  </si>
  <si>
    <t>Powrót</t>
  </si>
  <si>
    <t>Späť</t>
  </si>
  <si>
    <t>Lamane?</t>
  </si>
  <si>
    <t>Standardní vzdálenost závěsů od okraje je nastavena na 100mm (minimální  80mm). V případě potřeby změnit rozteč mezi jednotlivými závěsy, prosím, uveďte do poznámky (v mm).</t>
  </si>
  <si>
    <t>Štandardná vzdialenosť závesov od okraja je nastavená na 100mm (minimálna 80mm). V prípade potreby zmeniť rozstup medzi jednotlivými závesy, prosím, uveďte do poznámky (v mm).</t>
  </si>
  <si>
    <t>Standardowa odległość zawiasów od krawędzi wynosi 100 mm (minimum 80 mm). Jeżeli konieczna jest zmiana rozstawu między poszczególnymi zawiasami, prosimy podać w notatce (w mm).</t>
  </si>
  <si>
    <t>_corleone</t>
  </si>
  <si>
    <t>hettich tlumený 300279</t>
  </si>
  <si>
    <t>blum tlumený 118033</t>
  </si>
  <si>
    <t>blum tlumený 12103+12391</t>
  </si>
  <si>
    <t>strong tlumený 350863</t>
  </si>
  <si>
    <t>strong tlumený 92584T</t>
  </si>
  <si>
    <t>hettich tlumený 104717</t>
  </si>
  <si>
    <t>blum tlumený 12047</t>
  </si>
  <si>
    <t>strong tlumený 350827</t>
  </si>
  <si>
    <t>Rozteč úchytky (mm)</t>
  </si>
  <si>
    <t>Rozteč úchytiek (mm)</t>
  </si>
  <si>
    <t>Rozstaw uchwytu (mm)</t>
  </si>
  <si>
    <t>Fogantyú távolság (mm)</t>
  </si>
  <si>
    <t>Siena black (Left and right) + Varna black (Top and bottom)</t>
  </si>
  <si>
    <t>Rocca black (Left and right) + Varna black (Top and bottom)</t>
  </si>
  <si>
    <t>Type of glass</t>
  </si>
  <si>
    <t>Top door</t>
  </si>
  <si>
    <t>Bottom door</t>
  </si>
  <si>
    <t>45°angle</t>
  </si>
  <si>
    <t>Select Frame Position</t>
  </si>
  <si>
    <t>Hinge manufacturer</t>
  </si>
  <si>
    <t>Number of hinges per frame</t>
  </si>
  <si>
    <t>Supply including specified fittings</t>
  </si>
  <si>
    <t>Top</t>
  </si>
  <si>
    <t>Narrow ALU Frame</t>
  </si>
  <si>
    <t>Wide ALU Frame</t>
  </si>
  <si>
    <t>Hinge position</t>
  </si>
  <si>
    <t>Total Price</t>
  </si>
  <si>
    <t>ID No:</t>
  </si>
  <si>
    <t>Order No.</t>
  </si>
  <si>
    <t>Color previews for individual RAL and REF names are indicative only!!!!</t>
  </si>
  <si>
    <t>Internal cabinet size (mm)</t>
  </si>
  <si>
    <t>The standard door overlaps are shown here</t>
  </si>
  <si>
    <t>color</t>
  </si>
  <si>
    <t>ALU Order</t>
  </si>
  <si>
    <t>bottom</t>
  </si>
  <si>
    <t>The standard drilling of hinge holes for all types of Aventos HF fittings, is 100 mm from the edge.</t>
  </si>
  <si>
    <t>The standard diameter of the mounting holes is 7 mm in the glass and 5 mm in the frame (distance pads are included).</t>
  </si>
  <si>
    <t>If your request is different from the one above, please note it.</t>
  </si>
  <si>
    <t>Please fill in your contact details and then click on the required box below.</t>
  </si>
  <si>
    <t>At the customer's request, frames with a maximum profile length of 3m can be supplied. The maximum glass dimension in this case is 2500 x 1300 mm.</t>
  </si>
  <si>
    <t>All Lacobel and Matelac glasses can be floored with safety foil (add to note if necessary)</t>
  </si>
  <si>
    <t>Send your filled order to</t>
  </si>
  <si>
    <t>ordering@demos-trade.com</t>
  </si>
  <si>
    <t>H27AL narrow frame fitting set (88630)</t>
  </si>
  <si>
    <t>H37AL wide frame fitting set (88631)</t>
  </si>
  <si>
    <t>By default, the frames are ready for the sliding fittings H27AL (25 kg load-capacity per frame) and H37AL (35 kg load-capacity per frame).</t>
  </si>
  <si>
    <t>The appropriate frame sizes for a particular type of fitting must be verified before entering into the order (Aventplan, catalog, …), the form has no restrictions set.</t>
  </si>
  <si>
    <t>The glass sample can be ordered under the codes Lacebel VZK003P and Matelac VZK004P.</t>
  </si>
  <si>
    <t>The price for sliding frames is the same as the price for regular frames.</t>
  </si>
  <si>
    <t>The above door drawings are shown when viewed from the front.</t>
  </si>
  <si>
    <t>Oversized box, higher traffic may be charged</t>
  </si>
  <si>
    <t>Arm position</t>
  </si>
  <si>
    <t>The minimum hinge distance from the edge of the frame is 70mm</t>
  </si>
  <si>
    <t>The minimum hinge distance from the edge of the frame is 80mm</t>
  </si>
  <si>
    <t>Intermat inserted</t>
  </si>
  <si>
    <t>STRONG 30N Gray Automatic</t>
  </si>
  <si>
    <t>STRONG 80N Gray Automatic</t>
  </si>
  <si>
    <t>STRONG 120N Gray Positioning</t>
  </si>
  <si>
    <t>CARTON 164 Bottom</t>
  </si>
  <si>
    <t>CARTON 244 Bottom</t>
  </si>
  <si>
    <t>CARTON 355 Bottom</t>
  </si>
  <si>
    <t>Dividing bars</t>
  </si>
  <si>
    <t>Loading</t>
  </si>
  <si>
    <t>Pitch</t>
  </si>
  <si>
    <t>Yes</t>
  </si>
  <si>
    <t>No</t>
  </si>
  <si>
    <t>Transparent</t>
  </si>
  <si>
    <t>White</t>
  </si>
  <si>
    <t>Black</t>
  </si>
  <si>
    <t>Next</t>
  </si>
  <si>
    <t>Summary</t>
  </si>
  <si>
    <t>Back</t>
  </si>
  <si>
    <t>Angličtina</t>
  </si>
  <si>
    <t>Common frames</t>
  </si>
  <si>
    <t>Notes</t>
  </si>
  <si>
    <t>Fittings variant</t>
  </si>
  <si>
    <t>Fittings brand</t>
  </si>
  <si>
    <t>If the Handle is fixed through glass, a distance washer must always be used (e.g. 144516, 191970, C0315)</t>
  </si>
  <si>
    <t>Handle diameter (mm)</t>
  </si>
  <si>
    <t>Handle position</t>
  </si>
  <si>
    <t>VERONA</t>
  </si>
  <si>
    <t>ROCCA</t>
  </si>
  <si>
    <t>IMOLA</t>
  </si>
  <si>
    <t>MODENA</t>
  </si>
  <si>
    <t>PISA</t>
  </si>
  <si>
    <t>CORLEONE</t>
  </si>
  <si>
    <t>VIVARO</t>
  </si>
  <si>
    <t>Palio černá (Vlevo a vpravo) + Varna černá (Nahoře a dole)</t>
  </si>
  <si>
    <t>Palio čierna (Vľavo a vpravo) + Varna čierna (Hore a dole)</t>
  </si>
  <si>
    <t>Palio czarny (lewa i prawa) + Varna czarny (góra i dół)</t>
  </si>
  <si>
    <t>Palio fekete (bal és jobb) + Várna fekete (felső és alsó)</t>
  </si>
  <si>
    <t>Palio black (Left and right) + Varna black (Top and bottom)</t>
  </si>
  <si>
    <t>Varna černá výrobce doporučuje délku max. 1200 mm</t>
  </si>
  <si>
    <t>Varna čierna výrobca odporúča dĺžku max. 1200 mm</t>
  </si>
  <si>
    <t>Varna czarna - producent zaleca długość max. 1200 mm</t>
  </si>
  <si>
    <t>Varna fekete - a gyártó max. 1200 mm</t>
  </si>
  <si>
    <t>Varna black - the manufacturer recommends a length of max. 1200 mm</t>
  </si>
  <si>
    <t>VarnA čierna výrobca odporúča dĺžku max. 1200 mm</t>
  </si>
  <si>
    <t>Objednávka skla</t>
  </si>
  <si>
    <t>Zamówienie szkła</t>
  </si>
  <si>
    <t>Üvegrendelés</t>
  </si>
  <si>
    <t>Glass order</t>
  </si>
  <si>
    <t>Broušení hran</t>
  </si>
  <si>
    <t>harded</t>
  </si>
  <si>
    <t>Foil</t>
  </si>
  <si>
    <t>Not treated</t>
  </si>
  <si>
    <t>The standard hole for a hinge cup is drilled 3mm from the edge.</t>
  </si>
  <si>
    <t>Prices shown are VAT-free and do not include price of the fittings required!</t>
  </si>
  <si>
    <t>Type of profile</t>
  </si>
  <si>
    <t>Total price of fittings</t>
  </si>
  <si>
    <t>Total order price</t>
  </si>
  <si>
    <t>Hinges</t>
  </si>
  <si>
    <t>Aventos others</t>
  </si>
  <si>
    <t>STRONG soft-closing</t>
  </si>
  <si>
    <t>Hinges with lift up mechanism</t>
  </si>
  <si>
    <t>Overlay clip hinge</t>
  </si>
  <si>
    <t>Half-overlay clip hinge</t>
  </si>
  <si>
    <t>Inset clip hinge</t>
  </si>
  <si>
    <t xml:space="preserve">Overlay </t>
  </si>
  <si>
    <t>Half-overlay</t>
  </si>
  <si>
    <t>Overlay with reversed spring function</t>
  </si>
  <si>
    <t>Inset with reversed spring function</t>
  </si>
  <si>
    <t>Clip on plate H2 for screws fixing</t>
  </si>
  <si>
    <t>Clip on plate H4 for screws fixing</t>
  </si>
  <si>
    <t>Clip on plate H2 for Euro-screws fixing</t>
  </si>
  <si>
    <t>Clip on plate H4 for Euro-screws fixing</t>
  </si>
  <si>
    <t>Slide on plate H2  for screw fixing</t>
  </si>
  <si>
    <t>Slide on plate H4  for screw fixing</t>
  </si>
  <si>
    <t>Slide on plate H2  for Euro-screw fixing</t>
  </si>
  <si>
    <t>Slide on plate H4  for Euro-screw fixing</t>
  </si>
  <si>
    <t>Overlay for Blumotion</t>
  </si>
  <si>
    <t>Half-overlay with integrated Blumotion</t>
  </si>
  <si>
    <t>Inset with integrated Blumotion</t>
  </si>
  <si>
    <t>45° clip-on overlay</t>
  </si>
  <si>
    <t>45° clip-on half overlay</t>
  </si>
  <si>
    <t>Overlay without spring  (TIP-ON)</t>
  </si>
  <si>
    <t>Inset without spring (TIP-ON)</t>
  </si>
  <si>
    <t>Clip-on for Euro-screw fixing</t>
  </si>
  <si>
    <t>Clip-on for screw fixing</t>
  </si>
  <si>
    <t>45° clip-on</t>
  </si>
  <si>
    <t>Clip-on H0 for Euro-Screw fixing</t>
  </si>
  <si>
    <t>Clip-on H0 for screw fixing</t>
  </si>
  <si>
    <t>Type of hinge</t>
  </si>
  <si>
    <t>Type of Aventos</t>
  </si>
  <si>
    <t>Type of mounting plate</t>
  </si>
  <si>
    <t>Lift-up pistons</t>
  </si>
  <si>
    <t>Second door type</t>
  </si>
  <si>
    <t xml:space="preserve">MDF 16 mm </t>
  </si>
  <si>
    <t xml:space="preserve">MDF 18 mm </t>
  </si>
  <si>
    <t>Hinge distance from edge of door</t>
  </si>
  <si>
    <t>Fill in only if drilling is not symmetrical</t>
  </si>
  <si>
    <t>Ordering Form - ALU frames</t>
  </si>
  <si>
    <t>Fill the form from top to the bottom. In case of change some boxes, please check previous data.</t>
  </si>
  <si>
    <t>Phone:</t>
  </si>
  <si>
    <t>Contact E-mail:</t>
  </si>
  <si>
    <t>Address of shop:</t>
  </si>
  <si>
    <t>Type of fittings</t>
  </si>
  <si>
    <t>STRONG without soft-closing</t>
  </si>
  <si>
    <t>Default order is delivered including fittings and guiding profiles</t>
  </si>
  <si>
    <t>LACOBEL and Matelac colors</t>
  </si>
  <si>
    <t>Type of arm</t>
  </si>
  <si>
    <t>Types of profile</t>
  </si>
  <si>
    <t>Minimum distance of hinge</t>
  </si>
  <si>
    <t>Overlay with integrated Bluemotion</t>
  </si>
  <si>
    <t>Some types of handles threads for the bolts are embedded and suitable spacer pads must be used.</t>
  </si>
  <si>
    <t>Claims for damage cannot be accepted if the frame has already been fitted.</t>
  </si>
  <si>
    <t>To attach the fitting to the ALU frame, designated screws should be used (e.g. code 13681).</t>
  </si>
  <si>
    <t>Always use the current version of the form available on our web pages.</t>
  </si>
  <si>
    <t>The gap between the dividers should be at least 100 mm.</t>
  </si>
  <si>
    <t>An order can also contain multiple types (sizes) of frames at the same time, therefore please make sure that some columns do not content data form previous order.</t>
  </si>
  <si>
    <t>The form contains several pages. You can switch between the pages with the buttons on the top.</t>
  </si>
  <si>
    <t>By filling in your contact details, you are simultaneously agreeing to have read the informattion below!</t>
  </si>
  <si>
    <t>Drawings of profiles and connection fittings</t>
  </si>
  <si>
    <t>Top guide profile length 2 m (87313)</t>
  </si>
  <si>
    <t>Bottom guide profile, length 2 m (87315)</t>
  </si>
  <si>
    <t>Top guide profile length 3 m (87312)</t>
  </si>
  <si>
    <t>Bottom guide profile, length 3 m (87314)</t>
  </si>
  <si>
    <t>Other Request (pieces)</t>
  </si>
  <si>
    <t>Quantity (pieces)</t>
  </si>
  <si>
    <t>For oversize frames (over 1200 x 800 mm), extra special packaging and transport may be charged (more informattion at the customer centre).</t>
  </si>
  <si>
    <t>Maximum possible frame size is 2500x1300mm</t>
  </si>
  <si>
    <t>Sensys Overlay soft-closing</t>
  </si>
  <si>
    <t>Sensys half-Overlay soft-closing</t>
  </si>
  <si>
    <t>Sensys Inset soft-closing</t>
  </si>
  <si>
    <t>Sensys 90° hinge soft-closing</t>
  </si>
  <si>
    <t>Sensys Overlay Unsoft-closing</t>
  </si>
  <si>
    <t>Intermat Overlay</t>
  </si>
  <si>
    <t>Intermat Overlay 125°</t>
  </si>
  <si>
    <t>Intermat half-Overlay</t>
  </si>
  <si>
    <t>Intermat 90° hinge</t>
  </si>
  <si>
    <t>Sensys Overlay without soft-closing</t>
  </si>
  <si>
    <t>Sensys inserted without soft-closing</t>
  </si>
  <si>
    <t>screw plate</t>
  </si>
  <si>
    <t>plate for Euro-screw fixing</t>
  </si>
  <si>
    <t>spacer plate</t>
  </si>
  <si>
    <t>Overlay with 110° soft-closing clip-on</t>
  </si>
  <si>
    <t>half-Overlay with 110° soft-closing clip-on</t>
  </si>
  <si>
    <t>Inset with 110° soft-closing clip-on</t>
  </si>
  <si>
    <t>Overlay without soft-closing clip-on 110°</t>
  </si>
  <si>
    <t>half-Overlay without soft-closing clip-on 110°</t>
  </si>
  <si>
    <t>inserted without clip-on mute 110°</t>
  </si>
  <si>
    <t>Overlay TIP-ON clip-on 110°</t>
  </si>
  <si>
    <t>half-Overlay TIP-ON clip-on 110°</t>
  </si>
  <si>
    <t>Inset TIP-ON clip-on 110°</t>
  </si>
  <si>
    <t>Overlay with 95° soft-closing clip-on</t>
  </si>
  <si>
    <t>half-Overlay with 95° soft-closing clip-on</t>
  </si>
  <si>
    <t>inset with 95°clip-on soft-closing</t>
  </si>
  <si>
    <t>Overlay TIP-ON clip-on 95°</t>
  </si>
  <si>
    <t>Overlay TIP-ON clip-on 120°</t>
  </si>
  <si>
    <t>Overlay Slide-on</t>
  </si>
  <si>
    <t>Half-overlay Slide-on</t>
  </si>
  <si>
    <t>Inset Slide-on</t>
  </si>
  <si>
    <t>STRONG 60N white Free-stop</t>
  </si>
  <si>
    <t>STRONG 80N white Free-stop</t>
  </si>
  <si>
    <t>STRONG 100N white Free-stop</t>
  </si>
  <si>
    <t>STRONG 120N white Free-stop</t>
  </si>
  <si>
    <t>STRONG 60N grey Free-stop</t>
  </si>
  <si>
    <t>STRONG 80N grey Free-stop</t>
  </si>
  <si>
    <t>STRONG 100N grey Free-stop</t>
  </si>
  <si>
    <t>STRONG drop-downwhite</t>
  </si>
  <si>
    <t>STRONG drop-downgrey</t>
  </si>
  <si>
    <t>Slide-on H0 for screw fixing</t>
  </si>
  <si>
    <t>Slide-on H0 for Euro-screw fixing</t>
  </si>
  <si>
    <t>Slide-on H2 for screw fixing</t>
  </si>
  <si>
    <t>Slide-on H2 for Euro-screw fixing</t>
  </si>
  <si>
    <t>Clip-on H0 for screw fixing with excenter</t>
  </si>
  <si>
    <t>Sensys SiSy Overlay</t>
  </si>
  <si>
    <t>Sensys SiSy Half-Overlay</t>
  </si>
  <si>
    <t>Sensys SiSy Inset</t>
  </si>
  <si>
    <t>Sensys P2o Overlay</t>
  </si>
  <si>
    <t>Sensys P2o Half-Overlay</t>
  </si>
  <si>
    <t>Sensys P2o Inset</t>
  </si>
  <si>
    <t>Sensys Overlay with P2O</t>
  </si>
  <si>
    <t>Overlay with 110° soft-closing clip-on, ONYX</t>
  </si>
  <si>
    <t>Half-Overlay with 110° soft-closing clip-on, ONYX</t>
  </si>
  <si>
    <t>Inset with 110° clip-on soft-closing, ONYX</t>
  </si>
  <si>
    <t>Overlay 95°, Onyx</t>
  </si>
  <si>
    <t>The maximum possible dimension of Corleone frame is 1500x600mm</t>
  </si>
  <si>
    <t>Combination of 2 Profiles</t>
  </si>
  <si>
    <t>Hinges for lift-up mechanisms</t>
  </si>
  <si>
    <t>Lifts</t>
  </si>
  <si>
    <t>Frame composed of two different profiles</t>
  </si>
  <si>
    <t>Type of foil</t>
  </si>
  <si>
    <t>The view of the dividers is only illustrative and does not show the selected number of dividers horizontally/vertically.</t>
  </si>
  <si>
    <t>Default distance from the edge is set at 100mm (minimum 80mm). In case of different distances between hinges, please make a note (in mm).</t>
  </si>
  <si>
    <t>EN</t>
  </si>
  <si>
    <t>úzký_BLUM_Overlay</t>
  </si>
  <si>
    <t>úzký_HETTICH_Overlay</t>
  </si>
  <si>
    <t>úzký_STRONG_Overlay</t>
  </si>
  <si>
    <t>široký_BLUM_Overlay</t>
  </si>
  <si>
    <t>široký_HETTICH_Overlay</t>
  </si>
  <si>
    <t>široký_STRONG_Overlay</t>
  </si>
  <si>
    <t>úzký_BLUM_Half-overlay</t>
  </si>
  <si>
    <t>úzký_HETTICH_Half-overlay</t>
  </si>
  <si>
    <t>široký_BLUM_Half-overlay</t>
  </si>
  <si>
    <t>široký_HETTICH_Half-overlay</t>
  </si>
  <si>
    <t>široký_STRONG_Half-overlay</t>
  </si>
  <si>
    <t>úzký_BLUM_Inset</t>
  </si>
  <si>
    <t>úzký_HETTICH_Inset</t>
  </si>
  <si>
    <t>široký_BLUM_Inset</t>
  </si>
  <si>
    <t>široký_HETTICH_Inset</t>
  </si>
  <si>
    <t>široký_STRONG_Inset</t>
  </si>
  <si>
    <t>Overlay</t>
  </si>
  <si>
    <t>ezüst</t>
  </si>
  <si>
    <t>fekete</t>
  </si>
  <si>
    <t>silver</t>
  </si>
  <si>
    <t>black</t>
  </si>
  <si>
    <t>strieborná</t>
  </si>
  <si>
    <t>srebro</t>
  </si>
  <si>
    <t>czarny</t>
  </si>
  <si>
    <t>BRW złota</t>
  </si>
  <si>
    <t>Uwagi CZ</t>
  </si>
  <si>
    <t>Uwagi PL</t>
  </si>
  <si>
    <t>Ramka 1</t>
  </si>
  <si>
    <t>Ramka 2</t>
  </si>
  <si>
    <t>Ramka 3</t>
  </si>
  <si>
    <t>Ramka 4</t>
  </si>
  <si>
    <t>Ramka 5</t>
  </si>
  <si>
    <t>Ramka 6</t>
  </si>
  <si>
    <t>Do zelených buněk upřesněte vzdálenost vrtání úchytky od kraje rámečku.
Pokud požadujete vrtání úchytky na střed rámečku a do středu profilu, vepište prosím do zelených buněk "x".</t>
  </si>
  <si>
    <t>Please specify distance from edge of the frame to holes for handle in green box.
If you require drilling the handle to the center of the frame and the center of the profile, please enter "x" in both cells.</t>
  </si>
  <si>
    <t>12047 - záves s pružinou a tlmením - strieborná</t>
  </si>
  <si>
    <t>When used with glass, the maximum recommended dimension is 1500 x 600 mm</t>
  </si>
  <si>
    <t>Při použití se sklem je maximální doporučený rozměr 1500 x 600 mm</t>
  </si>
  <si>
    <t>W przypadku zastosowania ze szkłem maksymalny zalecany wymiar to 1500 x 600 mm</t>
  </si>
  <si>
    <t>Üveggel történő használat esetén a maximális ajánlott méret 1500 x 600 mm</t>
  </si>
  <si>
    <t>Pri použití so sklom je maximálny odporúčaný rozmer 1500 x 600 mm</t>
  </si>
  <si>
    <t>344691 - závěs s pružinou a tlumením - černá</t>
  </si>
  <si>
    <t>232346 - závěs s pružinou bez tlumení - stříbrná</t>
  </si>
  <si>
    <t>245723 - tip-on závěs bez pružiny/tlumení - stříbrná</t>
  </si>
  <si>
    <t>344694 - tip-on závěs bez pružiny/tlumení - černá</t>
  </si>
  <si>
    <t>104718 - závěs s pružinou a tlumením - stříbrná</t>
  </si>
  <si>
    <t>344692 - závěs s pružinou a tlumením - černá</t>
  </si>
  <si>
    <t>232347 - závěs s pružinou bez tlumení - stříbrná</t>
  </si>
  <si>
    <t>245724 - tip-on závěs bez pružiny/tlumení - stříbrná</t>
  </si>
  <si>
    <t>344695 - tip-on závěs bez pružiny/tlumení - černá</t>
  </si>
  <si>
    <t>104719 - závěs s pružinou a tlumením - stříbrná</t>
  </si>
  <si>
    <t>344693 - závěs s pružinou a tlumením - černá</t>
  </si>
  <si>
    <t>232348 - závěs s pružinou bez tlumení - stříbrná</t>
  </si>
  <si>
    <t>245725 - tip-on závěs bez pružiny/tlumení - stříbrná</t>
  </si>
  <si>
    <t>344696 - tip-on závěs bez pružiny/tlumení - černá</t>
  </si>
  <si>
    <t>92580T - závěs s pružinou a tlumením - stříbrná</t>
  </si>
  <si>
    <t>198818 - závěs s pružinou bez tlumení - stříbrná</t>
  </si>
  <si>
    <t>92581T - závěs s pružinou a tlumením - stříbrná</t>
  </si>
  <si>
    <t>198819 - závěs s pružinou bez tlumení - stříbrná</t>
  </si>
  <si>
    <t>92582T - závěs s pružinou a tlumením - stříbrná</t>
  </si>
  <si>
    <t>198820 - závěs s pružinou bez tlumení - stříbrná</t>
  </si>
  <si>
    <t>350827 - závěs s pružinou a tlumením - stříbrná</t>
  </si>
  <si>
    <t>350834 - závěs s pružinou bez tlumení - stříbrná</t>
  </si>
  <si>
    <t>350837 - tip-on závěs bez pružiny/tlumení - stříbrná</t>
  </si>
  <si>
    <t>350828 - závěs s pružinou a tlumením - stříbrná</t>
  </si>
  <si>
    <t>350835 - závěs s pružinou bez tlumení - stříbrná</t>
  </si>
  <si>
    <t>350838 - tip-on závěs bez pružiny/tlumení - stříbrná</t>
  </si>
  <si>
    <t>350829 - závěs s pružinou a tlumením - stříbrná</t>
  </si>
  <si>
    <t>350836 - závěs s pružinou bez tlumení - stříbrná</t>
  </si>
  <si>
    <t>350839 - tip-on závěs bez pružiny/tlumení - stříbrná</t>
  </si>
  <si>
    <t>118033 / 12103+12391 - závěs s pružinou a tlumením - stříbrná</t>
  </si>
  <si>
    <t>118033 / 12106 - závěs s pružinou bez tlumení - stříbrná</t>
  </si>
  <si>
    <t>306329 - závěs s pružinou bez tlumení - černá</t>
  </si>
  <si>
    <t>12109 - tip-on závěs bez pružiny/tlumení - stříbrná</t>
  </si>
  <si>
    <t>118120 / 12104+12385 - závěs s pružinou a tlumením - stříbrná</t>
  </si>
  <si>
    <t>118120 / 12107 - závěs s pružinou bez tlumení - stříbrná</t>
  </si>
  <si>
    <t>118121 - závěs s pružinou a tlumením - stříbrná</t>
  </si>
  <si>
    <t>118121 / 12108 - závěs s pružinou bez tlumení - stříbrná</t>
  </si>
  <si>
    <t>300279 - závěs s pružinou a tlumením - stříbrná</t>
  </si>
  <si>
    <t>344697 - závěs s pružinou a tlumením - černá</t>
  </si>
  <si>
    <t>300282 - závěs s pružinou bez tlumení - stříbrná</t>
  </si>
  <si>
    <t>300280 - závěs s pružinou a tlumením - stříbrná</t>
  </si>
  <si>
    <t>300283 - závěs s pružinou bez tlumení - stříbrná</t>
  </si>
  <si>
    <t>300286 - tip-on závěs bez pružiny/tlumení - stříbrná</t>
  </si>
  <si>
    <t>300281 - závěs s pružinou a tlumením - stříbrná</t>
  </si>
  <si>
    <t>300284 - závěs s pružinou bez tlumení - stříbrná</t>
  </si>
  <si>
    <t>300287 - tip-on závěs bez pružiny/tlumení - stříbrná</t>
  </si>
  <si>
    <t>92584T - závěs s pružinou a tlumením - stříbrná</t>
  </si>
  <si>
    <t>350863 - závěs s pružinou a tlumením - stříbrná</t>
  </si>
  <si>
    <t>350864 - tip-on závěs bez pružiny/tlumení - stříbrná</t>
  </si>
  <si>
    <t>12047 - závěs s pružinou a tlumením - stříbrná</t>
  </si>
  <si>
    <t>306317 - závěs s pružinou a tlumením - černá</t>
  </si>
  <si>
    <t>12052 - závěs s pružinou bez tlumení - stříbrná</t>
  </si>
  <si>
    <t>226668 - tip-on závěs bez pružiny/tlumení - stříbrná</t>
  </si>
  <si>
    <t>12048 - závěs s pružinou a tlumením - stříbrná</t>
  </si>
  <si>
    <t>306318 - závěs s pružinou a tlumením - černá</t>
  </si>
  <si>
    <t>12053 - závěs s pružinou bez tlumení - stříbrná</t>
  </si>
  <si>
    <t>226670 - tip-on závěs bez pružiny/tlumení - stříbrná</t>
  </si>
  <si>
    <t>12049 - závěs s pružinou a tlumením - stříbrná</t>
  </si>
  <si>
    <t>306319 - závěs s pružinou a tlumením - černá</t>
  </si>
  <si>
    <t>12059 - závěs s pružinou bez tlumení - stříbrná</t>
  </si>
  <si>
    <t>226671 - tip-on závěs bez pružiny/tlumení - stříbrná</t>
  </si>
  <si>
    <t>104717 - závěs s pružinou a tlumením - stříbrná</t>
  </si>
  <si>
    <t>118033 / 12103+12391 - záves s pružinou a tlmením - strieborná</t>
  </si>
  <si>
    <t>118033 / 12106 - záves s pružinou bez tlmenia - strieborná</t>
  </si>
  <si>
    <t>306329 - záves s pružinou bez tlmenia - čierna</t>
  </si>
  <si>
    <t>12109 - tip-on záves bez pružiny / tlmenia - strieborná</t>
  </si>
  <si>
    <t>118120 / 12104+12385 - záves s pružinou a tlmením - strieborná</t>
  </si>
  <si>
    <t>118120 / 12107 - záves s pružinou bez tlmenia - strieborná</t>
  </si>
  <si>
    <t>118121 - záves s pružinou a tlmením - strieborná</t>
  </si>
  <si>
    <t>118121 / 12108 - záves s pružinou bez tlmenia - strieborná</t>
  </si>
  <si>
    <t>300279 - záves s pružinou a tlmením - strieborná</t>
  </si>
  <si>
    <t>344697 - záves s pružinou a tlmením - čierna</t>
  </si>
  <si>
    <t>300282 - záves s pružinou bez tlmenia - strieborná</t>
  </si>
  <si>
    <t>300280 - záves s pružinou a tlmením - strieborná</t>
  </si>
  <si>
    <t>300283 - záves s pružinou bez tlmenia - strieborná</t>
  </si>
  <si>
    <t>300286 - tip-on záves bez pružiny / tlmenia - strieborná</t>
  </si>
  <si>
    <t>300281 - záves s pružinou a tlmením - strieborná</t>
  </si>
  <si>
    <t>300284 - záves s pružinou bez tlmenia - strieborná</t>
  </si>
  <si>
    <t>300287 - tip-on záves bez pružiny / tlmenia - strieborná</t>
  </si>
  <si>
    <t>92584T - záves s pružinou a tlmením - strieborná</t>
  </si>
  <si>
    <t>350863 - záves s pružinou a tlmením - strieborná</t>
  </si>
  <si>
    <t>350864 - tip-on záves bez pružiny / tlmenia - strieborná</t>
  </si>
  <si>
    <t>306317 - záves s pružinou a tlmením - čierna</t>
  </si>
  <si>
    <t>12052 - záves s pružinou bez tlmenia - strieborná</t>
  </si>
  <si>
    <t>226668 - tip-on záves bez pružiny / tlmenia - strieborná</t>
  </si>
  <si>
    <t>12048 - záves s pružinou a tlmením - strieborná</t>
  </si>
  <si>
    <t>306318 - záves s pružinou a tlmením - čierna</t>
  </si>
  <si>
    <t>12053 - záves s pružinou bez tlmenia - strieborná</t>
  </si>
  <si>
    <t>226670 - tip-on záves bez pružiny / tlmenia - strieborná</t>
  </si>
  <si>
    <t>12049 - záves s pružinou a tlmením - strieborná</t>
  </si>
  <si>
    <t>306319 - záves s pružinou a tlmením - čierna</t>
  </si>
  <si>
    <t>12059 - záves s pružinou bez tlmenia - strieborná</t>
  </si>
  <si>
    <t>226671 - tip-on záves bez pružiny / tlmenia - strieborná</t>
  </si>
  <si>
    <t>104717 - záves s pružinou a tlmením - strieborná</t>
  </si>
  <si>
    <t>344691 - záves s pružinou a tlmením - čierna</t>
  </si>
  <si>
    <t>232346 - záves s pružinou bez tlmenia - strieborná</t>
  </si>
  <si>
    <t>245723 - tip-on záves bez pružiny / tlmenia - strieborná</t>
  </si>
  <si>
    <t>344694 - tip-on záves bez pružiny / tlmenia - čierna</t>
  </si>
  <si>
    <t>104718 - záves s pružinou a tlmením - strieborná</t>
  </si>
  <si>
    <t>344692 - záves s pružinou a tlmením - čierna</t>
  </si>
  <si>
    <t>232347 - záves s pružinou bez tlmenia - strieborná</t>
  </si>
  <si>
    <t>245724 - tip-on záves bez pružiny / tlmenia - strieborná</t>
  </si>
  <si>
    <t>344695 - tip-on záves bez pružiny / tlmenia - čierna</t>
  </si>
  <si>
    <t>104719 - záves s pružinou a tlmením - strieborná</t>
  </si>
  <si>
    <t>344693 - záves s pružinou a tlmením - čierna</t>
  </si>
  <si>
    <t>232348 - záves s pružinou bez tlmenia - strieborná</t>
  </si>
  <si>
    <t>245725 - tip-on záves bez pružiny / tlmenia - strieborná</t>
  </si>
  <si>
    <t>344696 - tip-on záves bez pružiny / tlmenia - čierna</t>
  </si>
  <si>
    <t>92580T - záves s pružinou a tlmením - strieborná</t>
  </si>
  <si>
    <t>198818 - záves s pružinou bez tlmenia - strieborná</t>
  </si>
  <si>
    <t>92581T - záves s pružinou a tlmením - strieborná</t>
  </si>
  <si>
    <t>198819 - záves s pružinou bez tlmenia - strieborná</t>
  </si>
  <si>
    <t>92582T - záves s pružinou a tlmením - strieborná</t>
  </si>
  <si>
    <t>198820 - záves s pružinou bez tlmenia - strieborná</t>
  </si>
  <si>
    <t>350827 - záves s pružinou a tlmením - strieborná</t>
  </si>
  <si>
    <t>350834 - záves s pružinou bez tlmenia - strieborná</t>
  </si>
  <si>
    <t>350837 - tip-on záves bez pružiny / tlmenia - strieborná</t>
  </si>
  <si>
    <t>350828 - záves s pružinou a tlmením - strieborná</t>
  </si>
  <si>
    <t>350835 - záves s pružinou bez tlmenia - strieborná</t>
  </si>
  <si>
    <t>350838 - tip-on záves bez pružiny / tlmenia - strieborná</t>
  </si>
  <si>
    <t>350829 - záves s pružinou a tlmením - strieborná</t>
  </si>
  <si>
    <t>350836 - záves s pružinou bez tlmenia - strieborná</t>
  </si>
  <si>
    <t>350839 - tip-on záves bez pružiny / tlmenia - strieborná</t>
  </si>
  <si>
    <t>118033 / 12103+12391 - zawias ze sprężyną z tłumieniem - srebro</t>
  </si>
  <si>
    <t>118033 / 12106 - zawias ze sprężyną bez tłumienia - srebro</t>
  </si>
  <si>
    <t>306329 - zawias ze sprężyną bez tłumienia - czarny</t>
  </si>
  <si>
    <t>12109 - tip-on zawias bez sprężyny/tłumienie - srebro</t>
  </si>
  <si>
    <t>118120 / 12104+12385 - zawias ze sprężyną z tłumieniem - srebro</t>
  </si>
  <si>
    <t>118120 / 12107 - zawias ze sprężyną bez tłumienia - srebro</t>
  </si>
  <si>
    <t>118121 - zawias ze sprężyną z tłumieniem - srebro</t>
  </si>
  <si>
    <t>118121 / 12108 - zawias ze sprężyną bez tłumienia - srebro</t>
  </si>
  <si>
    <t>300279 - zawias ze sprężyną z tłumieniem - srebro</t>
  </si>
  <si>
    <t>344697 - zawias ze sprężyną z tłumieniem - czarny</t>
  </si>
  <si>
    <t>300282 - zawias ze sprężyną bez tłumienia - srebro</t>
  </si>
  <si>
    <t>300280 - zawias ze sprężyną z tłumieniem - srebro</t>
  </si>
  <si>
    <t>300283 - zawias ze sprężyną bez tłumienia - srebro</t>
  </si>
  <si>
    <t>300286 - tip-on zawias bez sprężyny/tłumienie - srebro</t>
  </si>
  <si>
    <t>300281 - zawias ze sprężyną z tłumieniem - srebro</t>
  </si>
  <si>
    <t>300284 - zawias ze sprężyną bez tłumienia - srebro</t>
  </si>
  <si>
    <t>300287 - tip-on zawias bez sprężyny/tłumienie - srebro</t>
  </si>
  <si>
    <t>92584T - zawias ze sprężyną z tłumieniem - srebro</t>
  </si>
  <si>
    <t>350863 - zawias ze sprężyną z tłumieniem - srebro</t>
  </si>
  <si>
    <t>350864 - tip-on zawias bez sprężyny/tłumienie - srebro</t>
  </si>
  <si>
    <t>12047 - zawias ze sprężyną z tłumieniem - srebro</t>
  </si>
  <si>
    <t>306317 - zawias ze sprężyną z tłumieniem - czarny</t>
  </si>
  <si>
    <t>12052 - zawias ze sprężyną bez tłumienia - srebro</t>
  </si>
  <si>
    <t>226668 - tip-on zawias bez sprężyny/tłumienie - srebro</t>
  </si>
  <si>
    <t>12048 - zawias ze sprężyną z tłumieniem - srebro</t>
  </si>
  <si>
    <t>306318 - zawias ze sprężyną z tłumieniem - czarny</t>
  </si>
  <si>
    <t>12053 - zawias ze sprężyną bez tłumienia - srebro</t>
  </si>
  <si>
    <t>226670 - tip-on zawias bez sprężyny/tłumienie - srebro</t>
  </si>
  <si>
    <t>12049 - zawias ze sprężyną z tłumieniem - srebro</t>
  </si>
  <si>
    <t>306319 - zawias ze sprężyną z tłumieniem - czarny</t>
  </si>
  <si>
    <t>12059 - zawias ze sprężyną bez tłumienia - srebro</t>
  </si>
  <si>
    <t>226671 - tip-on zawias bez sprężyny/tłumienie - srebro</t>
  </si>
  <si>
    <t>104717 - zawias ze sprężyną z tłumieniem - srebro</t>
  </si>
  <si>
    <t>344691 - zawias ze sprężyną z tłumieniem - czarny</t>
  </si>
  <si>
    <t>232346 - zawias ze sprężyną bez tłumienia - srebro</t>
  </si>
  <si>
    <t>245723 - tip-on zawias bez sprężyny/tłumienie - srebro</t>
  </si>
  <si>
    <t>344694 - tip-on zawias bez sprężyny/tłumienie - czarny</t>
  </si>
  <si>
    <t>104718 - zawias ze sprężyną z tłumieniem - srebro</t>
  </si>
  <si>
    <t>344692 - zawias ze sprężyną z tłumieniem - czarny</t>
  </si>
  <si>
    <t>232347 - zawias ze sprężyną bez tłumienia - srebro</t>
  </si>
  <si>
    <t>245724 - tip-on zawias bez sprężyny/tłumienie - srebro</t>
  </si>
  <si>
    <t>344695 - tip-on zawias bez sprężyny/tłumienie - czarny</t>
  </si>
  <si>
    <t>104719 - zawias ze sprężyną z tłumieniem - srebro</t>
  </si>
  <si>
    <t>344693 - zawias ze sprężyną z tłumieniem - czarny</t>
  </si>
  <si>
    <t>232348 - zawias ze sprężyną bez tłumienia - srebro</t>
  </si>
  <si>
    <t>245725 - tip-on zawias bez sprężyny/tłumienie - srebro</t>
  </si>
  <si>
    <t>344696 - tip-on zawias bez sprężyny/tłumienie - czarny</t>
  </si>
  <si>
    <t>92580T - zawias ze sprężyną z tłumieniem - srebro</t>
  </si>
  <si>
    <t>198818 - zawias ze sprężyną bez tłumienia - srebro</t>
  </si>
  <si>
    <t>92581T - zawias ze sprężyną z tłumieniem - srebro</t>
  </si>
  <si>
    <t>198819 - zawias ze sprężyną bez tłumienia - srebro</t>
  </si>
  <si>
    <t>92582T - zawias ze sprężyną z tłumieniem - srebro</t>
  </si>
  <si>
    <t>198820 - zawias ze sprężyną bez tłumienia - srebro</t>
  </si>
  <si>
    <t>350827 - zawias ze sprężyną z tłumieniem - srebro</t>
  </si>
  <si>
    <t>350834 - zawias ze sprężyną bez tłumienia - srebro</t>
  </si>
  <si>
    <t>350837 - tip-on zawias bez sprężyny/tłumienie - srebro</t>
  </si>
  <si>
    <t>350828 - zawias ze sprężyną z tłumieniem - srebro</t>
  </si>
  <si>
    <t>350835 - zawias ze sprężyną bez tłumienia - srebro</t>
  </si>
  <si>
    <t>350838 - tip-on zawias bez sprężyny/tłumienie - srebro</t>
  </si>
  <si>
    <t>350829 - zawias ze sprężyną z tłumieniem - srebro</t>
  </si>
  <si>
    <t>350836 - zawias ze sprężyną bez tłumienia - srebro</t>
  </si>
  <si>
    <t>350839 - tip-on zawias bez sprężyny/tłumienie - srebro</t>
  </si>
  <si>
    <t>118033 / 12103+12391 - hinge - with spring and damping - ezüst</t>
  </si>
  <si>
    <t>118033 / 12106 - hinge - without damping - ezüst</t>
  </si>
  <si>
    <t>306329 - hinge - without damping - fekete</t>
  </si>
  <si>
    <t>12109 - hinge - tip-on without spring / damping - ezüst</t>
  </si>
  <si>
    <t>118120 / 12104+12385 - hinge - with spring and damping - ezüst</t>
  </si>
  <si>
    <t>118120 / 12107 - hinge - without damping - ezüst</t>
  </si>
  <si>
    <t>118121 - hinge - with spring and damping - ezüst</t>
  </si>
  <si>
    <t>118121 / 12108 - hinge - without damping - ezüst</t>
  </si>
  <si>
    <t>300279 - hinge - with spring and damping - ezüst</t>
  </si>
  <si>
    <t>344697 - hinge - with spring and damping - fekete</t>
  </si>
  <si>
    <t>300282 - hinge - without damping - ezüst</t>
  </si>
  <si>
    <t>300285 - hinge - tip-on without spring / damping - ezüst</t>
  </si>
  <si>
    <t>300280 - hinge - with spring and damping - ezüst</t>
  </si>
  <si>
    <t>300283 - hinge - without damping - ezüst</t>
  </si>
  <si>
    <t>300286 - hinge - tip-on without spring / damping - ezüst</t>
  </si>
  <si>
    <t>300281 - hinge - with spring and damping - ezüst</t>
  </si>
  <si>
    <t>300284 - hinge - without damping - ezüst</t>
  </si>
  <si>
    <t>300287 - hinge - tip-on without spring / damping - ezüst</t>
  </si>
  <si>
    <t>92584T - hinge - with spring and damping - ezüst</t>
  </si>
  <si>
    <t>350863 - hinge - with spring and damping - ezüst</t>
  </si>
  <si>
    <t>350864 - hinge - tip-on without spring / damping - ezüst</t>
  </si>
  <si>
    <t>12047 - hinge - with spring and damping - ezüst</t>
  </si>
  <si>
    <t>306317 - hinge - with spring and damping - fekete</t>
  </si>
  <si>
    <t>12052 - hinge - without damping - ezüst</t>
  </si>
  <si>
    <t>226668 - hinge - tip-on without spring / damping - ezüst</t>
  </si>
  <si>
    <t>12048 - hinge - with spring and damping - ezüst</t>
  </si>
  <si>
    <t>306318 - hinge - with spring and damping - fekete</t>
  </si>
  <si>
    <t>12053 - hinge - without damping - ezüst</t>
  </si>
  <si>
    <t>226670 - hinge - tip-on without spring / damping - ezüst</t>
  </si>
  <si>
    <t>12049 - hinge - with spring and damping - ezüst</t>
  </si>
  <si>
    <t>306319 - hinge - with spring and damping - fekete</t>
  </si>
  <si>
    <t>12059 - hinge - without damping - ezüst</t>
  </si>
  <si>
    <t>226671 - hinge - tip-on without spring / damping - ezüst</t>
  </si>
  <si>
    <t>104717 - hinge - with spring and damping - ezüst</t>
  </si>
  <si>
    <t>344691 - hinge - with spring and damping - fekete</t>
  </si>
  <si>
    <t>232346 - hinge - without damping - ezüst</t>
  </si>
  <si>
    <t>245723 - hinge - tip-on without spring / damping - ezüst</t>
  </si>
  <si>
    <t>344694 - hinge - tip-on without spring / damping - fekete</t>
  </si>
  <si>
    <t>104718 - hinge - with spring and damping - ezüst</t>
  </si>
  <si>
    <t>344692 - hinge - with spring and damping - fekete</t>
  </si>
  <si>
    <t>232347 - hinge - without damping - ezüst</t>
  </si>
  <si>
    <t>245724 - hinge - tip-on without spring / damping - ezüst</t>
  </si>
  <si>
    <t>344695 - hinge - tip-on without spring / damping - fekete</t>
  </si>
  <si>
    <t>104719 - hinge - with spring and damping - ezüst</t>
  </si>
  <si>
    <t>344693 - hinge - with spring and damping - fekete</t>
  </si>
  <si>
    <t>232348 - hinge - without damping - ezüst</t>
  </si>
  <si>
    <t>245725 - hinge - tip-on without spring / damping - ezüst</t>
  </si>
  <si>
    <t>344696 - hinge - tip-on without spring / damping - fekete</t>
  </si>
  <si>
    <t>92580T - hinge - with spring and damping - ezüst</t>
  </si>
  <si>
    <t>198818 - hinge - without damping - ezüst</t>
  </si>
  <si>
    <t>92581T - hinge - with spring and damping - ezüst</t>
  </si>
  <si>
    <t>198819 - hinge - without damping - ezüst</t>
  </si>
  <si>
    <t>92582T - hinge - with spring and damping - ezüst</t>
  </si>
  <si>
    <t>198820 - hinge - without damping - ezüst</t>
  </si>
  <si>
    <t>350827 - hinge - with spring and damping - ezüst</t>
  </si>
  <si>
    <t>350834 - hinge - without damping - ezüst</t>
  </si>
  <si>
    <t>350837 - hinge - tip-on without spring / damping - ezüst</t>
  </si>
  <si>
    <t>350828 - hinge - with spring and damping - ezüst</t>
  </si>
  <si>
    <t>350835 - hinge - without damping - ezüst</t>
  </si>
  <si>
    <t>350838 - hinge - tip-on without spring / damping - ezüst</t>
  </si>
  <si>
    <t>350829 - hinge - with spring and damping - ezüst</t>
  </si>
  <si>
    <t>350836 - hinge - without damping - ezüst</t>
  </si>
  <si>
    <t>350839 - hinge - tip-on without spring / damping - ezüst</t>
  </si>
  <si>
    <t>118033 / 12103+12391 - hinge - with spring and damping - silver</t>
  </si>
  <si>
    <t>118033 / 12106 - hinge - without damping - silver</t>
  </si>
  <si>
    <t>306329 - hinge - without damping - black</t>
  </si>
  <si>
    <t>12109 - hinge - tip-on without spring / damping - silver</t>
  </si>
  <si>
    <t>118120 / 12104+12385 - hinge - with spring and damping - silver</t>
  </si>
  <si>
    <t>118120 / 12107 - hinge - without damping - silver</t>
  </si>
  <si>
    <t>118121 - hinge - with spring and damping - silver</t>
  </si>
  <si>
    <t>118121 / 12108 - hinge - without damping - silver</t>
  </si>
  <si>
    <t>300279 - hinge - with spring and damping - silver</t>
  </si>
  <si>
    <t>344697 - hinge - with spring and damping - black</t>
  </si>
  <si>
    <t>300282 - hinge - without damping - silver</t>
  </si>
  <si>
    <t>300285 - hinge - tip-on without spring / damping - silver</t>
  </si>
  <si>
    <t>300280 - hinge - with spring and damping - silver</t>
  </si>
  <si>
    <t>300283 - hinge - without damping - silver</t>
  </si>
  <si>
    <t>300286 - hinge - tip-on without spring / damping - silver</t>
  </si>
  <si>
    <t>300281 - hinge - with spring and damping - silver</t>
  </si>
  <si>
    <t>300284 - hinge - without damping - silver</t>
  </si>
  <si>
    <t>300287 - hinge - tip-on without spring / damping - silver</t>
  </si>
  <si>
    <t>92584T - hinge - with spring and damping - silver</t>
  </si>
  <si>
    <t>350863 - hinge - with spring and damping - silver</t>
  </si>
  <si>
    <t>350864 - hinge - tip-on without spring / damping - silver</t>
  </si>
  <si>
    <t>12047 - hinge - with spring and damping - silver</t>
  </si>
  <si>
    <t>306317 - hinge - with spring and damping - black</t>
  </si>
  <si>
    <t>12052 - hinge - without damping - silver</t>
  </si>
  <si>
    <t>226668 - hinge - tip-on without spring / damping - silver</t>
  </si>
  <si>
    <t>12048 - hinge - with spring and damping - silver</t>
  </si>
  <si>
    <t>306318 - hinge - with spring and damping - black</t>
  </si>
  <si>
    <t>12053 - hinge - without damping - silver</t>
  </si>
  <si>
    <t>226670 - hinge - tip-on without spring / damping - silver</t>
  </si>
  <si>
    <t>12049 - hinge - with spring and damping - silver</t>
  </si>
  <si>
    <t>306319 - hinge - with spring and damping - black</t>
  </si>
  <si>
    <t>12059 - hinge - without damping - silver</t>
  </si>
  <si>
    <t>226671 - hinge - tip-on without spring / damping - silver</t>
  </si>
  <si>
    <t>104717 - hinge - with spring and damping - silver</t>
  </si>
  <si>
    <t>344691 - hinge - with spring and damping - black</t>
  </si>
  <si>
    <t>232346 - hinge - without damping - silver</t>
  </si>
  <si>
    <t>245723 - hinge - tip-on without spring / damping - silver</t>
  </si>
  <si>
    <t>344694 - hinge - tip-on without spring / damping - black</t>
  </si>
  <si>
    <t>104718 - hinge - with spring and damping - silver</t>
  </si>
  <si>
    <t>344692 - hinge - with spring and damping - black</t>
  </si>
  <si>
    <t>232347 - hinge - without damping - silver</t>
  </si>
  <si>
    <t>245724 - hinge - tip-on without spring / damping - silver</t>
  </si>
  <si>
    <t>344695 - hinge - tip-on without spring / damping - black</t>
  </si>
  <si>
    <t>104719 - hinge - with spring and damping - silver</t>
  </si>
  <si>
    <t>344693 - hinge - with spring and damping - black</t>
  </si>
  <si>
    <t>232348 - hinge - without damping - silver</t>
  </si>
  <si>
    <t>245725 - hinge - tip-on without spring / damping - silver</t>
  </si>
  <si>
    <t>344696 - hinge - tip-on without spring / damping - black</t>
  </si>
  <si>
    <t>92580T - hinge - with spring and damping - silver</t>
  </si>
  <si>
    <t>198818 - hinge - without damping - silver</t>
  </si>
  <si>
    <t>92581T - hinge - with spring and damping - silver</t>
  </si>
  <si>
    <t>198819 - hinge - without damping - silver</t>
  </si>
  <si>
    <t>92582T - hinge - with spring and damping - silver</t>
  </si>
  <si>
    <t>198820 - hinge - without damping - silver</t>
  </si>
  <si>
    <t>350827 - hinge - with spring and damping - silver</t>
  </si>
  <si>
    <t>350834 - hinge - without damping - silver</t>
  </si>
  <si>
    <t>350837 - hinge - tip-on without spring / damping - silver</t>
  </si>
  <si>
    <t>350828 - hinge - with spring and damping - silver</t>
  </si>
  <si>
    <t>350835 - hinge - without damping - silver</t>
  </si>
  <si>
    <t>350838 - hinge - tip-on without spring / damping - silver</t>
  </si>
  <si>
    <t>350829 - hinge - with spring and damping - silver</t>
  </si>
  <si>
    <t>350836 - hinge - without damping - silver</t>
  </si>
  <si>
    <t>350839 - hinge - tip-on without spring / damping - silver</t>
  </si>
  <si>
    <t>Kalení cena</t>
  </si>
  <si>
    <t>Folie cena</t>
  </si>
  <si>
    <t>Lesk</t>
  </si>
  <si>
    <t>Mat</t>
  </si>
  <si>
    <t>Gloss</t>
  </si>
  <si>
    <t>Matt</t>
  </si>
  <si>
    <t>Połysk</t>
  </si>
  <si>
    <t>Fényes</t>
  </si>
  <si>
    <t>Matowy</t>
  </si>
  <si>
    <t>X = Wiercenie uchwytu na srod</t>
  </si>
  <si>
    <t xml:space="preserve">Do zelených buniek uveďte vzdialenosť vŕtania úchytky od kraja rámčeka._x000D_
Ak požadujete vŕtanie úchytky na stred rámčeka a do stredu profilu, vpíšte prosím do zelených buniek " x ". </t>
  </si>
  <si>
    <t>(alsó)</t>
  </si>
  <si>
    <t>(bal)</t>
  </si>
  <si>
    <t>(felső)</t>
  </si>
  <si>
    <t>(jobb)</t>
  </si>
  <si>
    <t>(bottom)</t>
  </si>
  <si>
    <t>(left)</t>
  </si>
  <si>
    <t>(upper)</t>
  </si>
  <si>
    <t>(right)</t>
  </si>
  <si>
    <t>(dolnej)</t>
  </si>
  <si>
    <t>(lewej)</t>
  </si>
  <si>
    <t>(górnej)</t>
  </si>
  <si>
    <t>(prawej)</t>
  </si>
  <si>
    <t>---</t>
  </si>
  <si>
    <t>275672- autom. 30N šedá</t>
  </si>
  <si>
    <t>275672- autom. 30N sivá</t>
  </si>
  <si>
    <t>275672- autom. 30N szary</t>
  </si>
  <si>
    <t>275672- autom. 30N szürke</t>
  </si>
  <si>
    <t>275672 -autom., 30N grey</t>
  </si>
  <si>
    <t>275673- autom. 60N šedá</t>
  </si>
  <si>
    <t>275673- autom. 60N sivá</t>
  </si>
  <si>
    <t>275673- autom. 60N szary</t>
  </si>
  <si>
    <t>275673- autom. 60N szürke</t>
  </si>
  <si>
    <t>275673 -autom., 60N grey</t>
  </si>
  <si>
    <t>275674- autom. 80N šedá</t>
  </si>
  <si>
    <t>275674- autom. 80N sivá</t>
  </si>
  <si>
    <t>275674- autom. 80N szary</t>
  </si>
  <si>
    <t>275674- autom. 80N szürke</t>
  </si>
  <si>
    <t>275674 -autom., 80N grey</t>
  </si>
  <si>
    <t>275675- autom. 100N šedá</t>
  </si>
  <si>
    <t>275675- autom. 100N sivá</t>
  </si>
  <si>
    <t>275675- autom. 100N szary</t>
  </si>
  <si>
    <t>275675- autom. 100N szürke</t>
  </si>
  <si>
    <t>275675 -autom., 100N grey</t>
  </si>
  <si>
    <t>275676- autom. 120N šedá</t>
  </si>
  <si>
    <t>275676- autom. 120N sivá</t>
  </si>
  <si>
    <t>275676- autom. 120N szary</t>
  </si>
  <si>
    <t>275676- autom. 120N szürke</t>
  </si>
  <si>
    <t>275676 -autom., 120N grey</t>
  </si>
  <si>
    <t>248162- autom. 30N bílá</t>
  </si>
  <si>
    <t>248162- autom. 30N biela</t>
  </si>
  <si>
    <t>248162- autom. 30N biały</t>
  </si>
  <si>
    <t>248162- autom. 30N fehér</t>
  </si>
  <si>
    <t>248162 -autom., 30N white</t>
  </si>
  <si>
    <t>248163- autom. 60N bílá</t>
  </si>
  <si>
    <t>248163- autom. 60N biela</t>
  </si>
  <si>
    <t>248163- autom. 60N biały</t>
  </si>
  <si>
    <t>248163- autom. 60N fehér</t>
  </si>
  <si>
    <t>248163 -autom., 60N white</t>
  </si>
  <si>
    <t>248164- autom. 80N bílá</t>
  </si>
  <si>
    <t>248164- autom. 80N biela</t>
  </si>
  <si>
    <t>248164- autom. 80N biały</t>
  </si>
  <si>
    <t>248164- autom. 80N fehér</t>
  </si>
  <si>
    <t>248164 -autom., 80N white</t>
  </si>
  <si>
    <t>248165- autom. 100N bílá</t>
  </si>
  <si>
    <t>248165- autom. 100N biela</t>
  </si>
  <si>
    <t>248165- autom. 100N biały</t>
  </si>
  <si>
    <t>248165- autom. 100N fehér</t>
  </si>
  <si>
    <t>248165 -autom., 100N white</t>
  </si>
  <si>
    <t>248166- autom. 120N bílá</t>
  </si>
  <si>
    <t>248166- autom. 120N biela</t>
  </si>
  <si>
    <t>248166- autom. 120N biały</t>
  </si>
  <si>
    <t>248166- autom. 120N fehér</t>
  </si>
  <si>
    <t>248166 -autom., 120N white</t>
  </si>
  <si>
    <t>284250- poloh. 60N šedá</t>
  </si>
  <si>
    <t>284250- poloh. 60N sivá</t>
  </si>
  <si>
    <t>284250 pozycj.60N szary</t>
  </si>
  <si>
    <t>284250-mutatva 60N szürke</t>
  </si>
  <si>
    <t>284250 - positio., 60N grey</t>
  </si>
  <si>
    <t>284251- poloh. 80N šedá</t>
  </si>
  <si>
    <t>284251- poloh. 80N sivá</t>
  </si>
  <si>
    <t>284251-pozycj. 80N szary</t>
  </si>
  <si>
    <t>284251-mutatva 80N szürke</t>
  </si>
  <si>
    <t>284251 - positio., 80N grey</t>
  </si>
  <si>
    <t>284252- poloh. 100N šedá</t>
  </si>
  <si>
    <t>284252- poloh. 100N sivá</t>
  </si>
  <si>
    <t>284252-pozycj. 100N szary</t>
  </si>
  <si>
    <t>284252-mutatva 100N szürke</t>
  </si>
  <si>
    <t>284252 - positio., 100N grey</t>
  </si>
  <si>
    <t>284253- poloh. 120N šedá</t>
  </si>
  <si>
    <t>284253- poloh. 120N sivá</t>
  </si>
  <si>
    <t>284253-pozycj. 120N szary</t>
  </si>
  <si>
    <t>284253-mutatva 120N szürke</t>
  </si>
  <si>
    <t>284253 - positio., 120N grey</t>
  </si>
  <si>
    <t>284254- poloh. 60N bílá</t>
  </si>
  <si>
    <t>284254- poloh. 60N biela</t>
  </si>
  <si>
    <t>284254-pozycj. 60N biały</t>
  </si>
  <si>
    <t>284254-mutatva 60N fehér</t>
  </si>
  <si>
    <t>284254 - positio., 60N white</t>
  </si>
  <si>
    <t>284255- poloh. 80N bílá</t>
  </si>
  <si>
    <t>284255- poloh. 80N biela</t>
  </si>
  <si>
    <t>284255-pozycj. 80N biały</t>
  </si>
  <si>
    <t>284255-mutatva 80N fehér</t>
  </si>
  <si>
    <t>284255 - positio., 80N white</t>
  </si>
  <si>
    <t>284256- poloh. 100N bílá</t>
  </si>
  <si>
    <t>284256- poloh. 100N biela</t>
  </si>
  <si>
    <t>284256-pozycj. 100N biały</t>
  </si>
  <si>
    <t>284256-mutatva 100N fehér</t>
  </si>
  <si>
    <t>284256 - positio., 100N white</t>
  </si>
  <si>
    <t>284257- poloh. 120N bílá</t>
  </si>
  <si>
    <t>284257- poloh. 120N biela</t>
  </si>
  <si>
    <t>284257-pozycj. 120N biały</t>
  </si>
  <si>
    <t>284257-mutatva 120N fehér</t>
  </si>
  <si>
    <t>284257 - positio., 120N white</t>
  </si>
  <si>
    <t>275689-spodná 80N sivá</t>
  </si>
  <si>
    <t>275689-barkowy 80N szary</t>
  </si>
  <si>
    <t>275689-alsó 80N szürke</t>
  </si>
  <si>
    <t>275689 - bottom, 80N grey</t>
  </si>
  <si>
    <t>248167-spodná 80N biela</t>
  </si>
  <si>
    <t>248167-barkowy 80N biały</t>
  </si>
  <si>
    <t>248167-alsó 80N fehér</t>
  </si>
  <si>
    <t>248167 - bottom, 80N white</t>
  </si>
  <si>
    <t>Servo:</t>
  </si>
  <si>
    <t>197612-21L3200.01-výška skříňky=300 – 349 mm</t>
  </si>
  <si>
    <t>197612-21L3200.01-výška skrinky=300 – 349 mm</t>
  </si>
  <si>
    <t>197612-21L3200.01-wysokość szafy=300 – 349 mm</t>
  </si>
  <si>
    <t>197612-21L3200.01-szekrény magassága=300 – 349 mm</t>
  </si>
  <si>
    <t>197612-21L3200.01-cabinet height=300 – 349 mm</t>
  </si>
  <si>
    <t>197613-21L3500.01-výška skříňky=350 – 399 mm</t>
  </si>
  <si>
    <t>197613-21L3500.01-výška skrinky=350 – 399 mm</t>
  </si>
  <si>
    <t>197613-21L3500.01-wysokość szafy=350 – 399 mm</t>
  </si>
  <si>
    <t>197613-21L3500.01-szekrény magassága=350 – 399 mm</t>
  </si>
  <si>
    <t>197613-21L3500.01-cabinet height=350 – 399 mm</t>
  </si>
  <si>
    <t>197614-21L3800.01-výška skříňky=400 – 550 mm</t>
  </si>
  <si>
    <t>197614-21L3800.01-výška skrinky=400 – 550 mm</t>
  </si>
  <si>
    <t>197614-21L3800.01-wysokość szafy=400 – 550 mm</t>
  </si>
  <si>
    <t>197614-21L3800.01-szekrény magassága=400 – 550 mm</t>
  </si>
  <si>
    <t>197614-21L3800.01-cabinet height=400 – 550 mm</t>
  </si>
  <si>
    <t>197615-21L3900.01-výška skříňky=450 – 580 mm</t>
  </si>
  <si>
    <t>197615-21L3900.01-výška skrinky=450 – 580 mm</t>
  </si>
  <si>
    <t>197615-21L3900.01-wysokość szafy=450 – 580 mm</t>
  </si>
  <si>
    <t>197615-21L3900.01-szekrény magassága=450 – 580 mm</t>
  </si>
  <si>
    <t>197615-21L3900.01-cabinet height=450 – 580 mm</t>
  </si>
  <si>
    <t>ENG</t>
  </si>
  <si>
    <t>"A zöld cellákban adja meg a fogantyú fúrási távolságát a keret szélétől. Ha a fogantyú-furatokat a keretre szeretné, a profil oldalsó és alsó-felső széleitől egyenlő távolságra, tegyen "x"-et a zöld cellákba.</t>
  </si>
  <si>
    <t>A pántok szabványos távolsága az éltől 100 mm (minimum 80 mm). Ha meg kell változtatni az egyes pántok közötti távolságot, kérjük, írja meg a megjegyzésben (mm-ben).</t>
  </si>
  <si>
    <t>Typ úpravy skla</t>
  </si>
  <si>
    <t>Typ upravy skla</t>
  </si>
  <si>
    <t>Blum_2</t>
  </si>
  <si>
    <t>Kesseböhmer _2</t>
  </si>
  <si>
    <t>ITALIANA ferramenta_2</t>
  </si>
  <si>
    <t>Hettich_2</t>
  </si>
  <si>
    <t>Blum_1</t>
  </si>
  <si>
    <t>Kesseböhmer _1</t>
  </si>
  <si>
    <t>_vyklopy_blum_kombo</t>
  </si>
  <si>
    <t>_vyklopy_kesse_kombo</t>
  </si>
  <si>
    <t>Do zelených buněk upřesněte vzdálenost vrtání úchytky od vnějšího kraje rámečku.</t>
  </si>
  <si>
    <t>Do zelených buniek uveďte vzdialenosť vŕtania úchytky od vonkajšieho kraja rámčeka.</t>
  </si>
  <si>
    <t>W zielonych komórkach określ odległość wiercenia rączki od zewnętrznej krawędzi ramy.</t>
  </si>
  <si>
    <t>A zöld cellákban adja meg a fogantyú fúrási távolságát a keret külső szélétől.</t>
  </si>
  <si>
    <t>In the green cells, specify the drilling distance of the handle from the outer edge of the frame.</t>
  </si>
  <si>
    <t>s pružinou a tlumením</t>
  </si>
  <si>
    <t>s pružinou bez tlumení</t>
  </si>
  <si>
    <t>tip-on bez pružiny/tlumení</t>
  </si>
  <si>
    <t>s pružinou a tlmením</t>
  </si>
  <si>
    <t>s pružinou bez tlmenia</t>
  </si>
  <si>
    <t>tip-on bez pružiny / tlmenia</t>
  </si>
  <si>
    <t>ze sprężyną z tłumieniem</t>
  </si>
  <si>
    <t>ze sprężyną bez tłumienia</t>
  </si>
  <si>
    <t>tip-on bez sprężyny/tłumienie</t>
  </si>
  <si>
    <t>rugóval, csillapítással</t>
  </si>
  <si>
    <t>Rugóval, csillapítás nélkül</t>
  </si>
  <si>
    <t>tip-on, rugó és csillapítás nélkül</t>
  </si>
  <si>
    <t>with spring and damping</t>
  </si>
  <si>
    <t>without damping</t>
  </si>
  <si>
    <t>tip-on without spring / damping</t>
  </si>
  <si>
    <t>Neplatná kombinace</t>
  </si>
  <si>
    <t>Invalid combination</t>
  </si>
  <si>
    <t>Érvénytelen kombináció</t>
  </si>
  <si>
    <t>Nieprawidłowa kombinacja</t>
  </si>
  <si>
    <t>Neplatná kombinácia</t>
  </si>
  <si>
    <t>Umístění</t>
  </si>
  <si>
    <t>Umiestnenie</t>
  </si>
  <si>
    <t>Umieszczenie</t>
  </si>
  <si>
    <t>Position</t>
  </si>
  <si>
    <t>Elhelyezése</t>
  </si>
  <si>
    <t>křížová vrut (excentr)</t>
  </si>
  <si>
    <t>N/A</t>
  </si>
  <si>
    <t>křížová vrut</t>
  </si>
  <si>
    <t>křížová euro</t>
  </si>
  <si>
    <t>křížová hmoždinka</t>
  </si>
  <si>
    <t>přímá vrut</t>
  </si>
  <si>
    <t>přímá euro</t>
  </si>
  <si>
    <t>přímá hmoždinka</t>
  </si>
  <si>
    <t>krížová skrutka</t>
  </si>
  <si>
    <t>krzyżakowy, wkręt</t>
  </si>
  <si>
    <t>talp ker.csavar</t>
  </si>
  <si>
    <t>cross screw</t>
  </si>
  <si>
    <t>na vrut (s excentrom)</t>
  </si>
  <si>
    <t>na wkręt (z mimośrodem)</t>
  </si>
  <si>
    <t>csavarra (excenterrel)</t>
  </si>
  <si>
    <t>on screw (w/ cam adjust)</t>
  </si>
  <si>
    <t>euroskrut</t>
  </si>
  <si>
    <t>eurócsavar</t>
  </si>
  <si>
    <t>euroscrew</t>
  </si>
  <si>
    <t>křížová expando</t>
  </si>
  <si>
    <t>expando</t>
  </si>
  <si>
    <t>priama Skrut</t>
  </si>
  <si>
    <t>prosty wkręt</t>
  </si>
  <si>
    <t>direct screw</t>
  </si>
  <si>
    <t>egyenesen csavarral</t>
  </si>
  <si>
    <t>egyenesen eurócsavar</t>
  </si>
  <si>
    <t>direct euroscrew</t>
  </si>
  <si>
    <t>prosty eurowkręt</t>
  </si>
  <si>
    <t>prosty expando</t>
  </si>
  <si>
    <t>egyenesen expando</t>
  </si>
  <si>
    <t>direct expando</t>
  </si>
  <si>
    <t>krzyżakowy eurowkręt</t>
  </si>
  <si>
    <t>krzyżakowy expando</t>
  </si>
  <si>
    <t>Aventos_HK_XS</t>
  </si>
  <si>
    <t>_kombo_Blum_naložený</t>
  </si>
  <si>
    <t>_kombo_Blum_polonaložený</t>
  </si>
  <si>
    <t>_kombo_Blum_vložený</t>
  </si>
  <si>
    <t>_kombo_Hettich_polonaložený</t>
  </si>
  <si>
    <t>_kombo_Hettich_vložený</t>
  </si>
  <si>
    <t>_kombo_Hettich_naložený</t>
  </si>
  <si>
    <t>_úzký_Blum_polonaložený</t>
  </si>
  <si>
    <t>_úzký_Blum_vložený</t>
  </si>
  <si>
    <t>_úzký_Blum_naložený</t>
  </si>
  <si>
    <t>_úzký_Hettich_polonaložený</t>
  </si>
  <si>
    <t>_úzký_Hettich_vložený</t>
  </si>
  <si>
    <t>_úzký_Hettich_naložený</t>
  </si>
  <si>
    <t>délka max. 2150 mm</t>
  </si>
  <si>
    <t>dĺžka max. 2150 mm</t>
  </si>
  <si>
    <t>długość max. 2150 mm</t>
  </si>
  <si>
    <t>length max. 2150 mm</t>
  </si>
  <si>
    <t>_široký_Blum_polonaložený</t>
  </si>
  <si>
    <t>_široký_Blum_vložený</t>
  </si>
  <si>
    <t>_široký_Blum_naložený</t>
  </si>
  <si>
    <t>_široký_Hettich_polonaložený</t>
  </si>
  <si>
    <t>_široký_Hettich_vložený</t>
  </si>
  <si>
    <t>_široký_Hettich_naložený</t>
  </si>
  <si>
    <t>92584T - Naložený s pružinou a tlumením - stříbrná</t>
  </si>
  <si>
    <t>Kč</t>
  </si>
  <si>
    <t>€</t>
  </si>
  <si>
    <t>zl</t>
  </si>
  <si>
    <t>HUF</t>
  </si>
  <si>
    <t>Distance from the bottom edge</t>
  </si>
  <si>
    <t>Distance from the top edge</t>
  </si>
  <si>
    <t>Odległość od dolnej krawędzi</t>
  </si>
  <si>
    <t>Odległość od górnej krawędzi</t>
  </si>
  <si>
    <t>Vzdialenosť od spodného okraja</t>
  </si>
  <si>
    <t>Vzdialenosť od horného okraja</t>
  </si>
  <si>
    <t>Távolság az alsó éltől</t>
  </si>
  <si>
    <t>Távolság a felső éltől</t>
  </si>
  <si>
    <t>RAL 9007</t>
  </si>
  <si>
    <t>RAL 0327</t>
  </si>
  <si>
    <t>RAL 0128</t>
  </si>
  <si>
    <t>RAL 1435</t>
  </si>
  <si>
    <t>RAL 1604</t>
  </si>
  <si>
    <t>RAL 0667</t>
  </si>
  <si>
    <t>RAL 1164</t>
  </si>
  <si>
    <t>RAL 1586</t>
  </si>
  <si>
    <t>BRĄZOWY LUSTRO</t>
  </si>
  <si>
    <t>GRAFITOWY LUSTRO</t>
  </si>
  <si>
    <t>Příslušenství u broušení 1x</t>
  </si>
  <si>
    <t>Počet tabulek</t>
  </si>
  <si>
    <t>Montáž okének - předěly za ks</t>
  </si>
  <si>
    <t>úzký_BLUM_Félig ráütődő</t>
  </si>
  <si>
    <t>úzký_HETTICH_Félig ráütődő</t>
  </si>
  <si>
    <t>široký_BLUM_Félig ráütődő</t>
  </si>
  <si>
    <t>široký_HETTICH_Félig ráütődő</t>
  </si>
  <si>
    <t>široký_STRONG_Félig ráütődő</t>
  </si>
  <si>
    <t>úzký_BLUM_Közézáródó</t>
  </si>
  <si>
    <t>úzký_HETTICH_Közézáródó</t>
  </si>
  <si>
    <t>široký_BLUM_Közézáródó</t>
  </si>
  <si>
    <t>široký_HETTICH_Közézáródó</t>
  </si>
  <si>
    <t>široký_STRONG_Közézáródó</t>
  </si>
  <si>
    <t>_úzký_BLUM_Naložený</t>
  </si>
  <si>
    <t>_úzký_BLUM_Polonaložený</t>
  </si>
  <si>
    <t>_úzký_BLUM_Vložený</t>
  </si>
  <si>
    <t>_úzký_HETTICH_Naložený</t>
  </si>
  <si>
    <t>_úzký_HETTICH_Polonaložený</t>
  </si>
  <si>
    <t>_úzký_HETTICH_Vložený</t>
  </si>
  <si>
    <t>_úzký_BLUM_Nakładany</t>
  </si>
  <si>
    <t>_úzký_BLUM_Półnakładany</t>
  </si>
  <si>
    <t>_úzký_BLUM_Wpuszczany</t>
  </si>
  <si>
    <t>_úzký_HETTICH_Nakładany</t>
  </si>
  <si>
    <t>_úzký_HETTICH_Półnakładany</t>
  </si>
  <si>
    <t>_úzký_HETTICH_Wpuszczany</t>
  </si>
  <si>
    <t>_úzký_BLUM_Ráütődő</t>
  </si>
  <si>
    <t>_úzký_BLUM_Félig ráütődő</t>
  </si>
  <si>
    <t>_úzký_BLUM_Közézáródó</t>
  </si>
  <si>
    <t>_úzký_HETTICH_Ráütődő</t>
  </si>
  <si>
    <t>_úzký_HETTICH_Félig ráütődő</t>
  </si>
  <si>
    <t>_úzký_HETTICH_Közézáródó</t>
  </si>
  <si>
    <t>_úzký_BLUM_Overlay</t>
  </si>
  <si>
    <t>_úzký_BLUM_Half-overlay</t>
  </si>
  <si>
    <t>_úzký_BLUM_Inset</t>
  </si>
  <si>
    <t>_úzký_HETTICH_Overlay</t>
  </si>
  <si>
    <t>_úzký_HETTICH_Half-overlay</t>
  </si>
  <si>
    <t>_úzký_HETTICH_Inset</t>
  </si>
  <si>
    <t>_široký_BLUM_Naložený</t>
  </si>
  <si>
    <t>_široký_BLUM_Polonaložený</t>
  </si>
  <si>
    <t>_široký_BLUM_Vložený</t>
  </si>
  <si>
    <t>_široký_HETTICH_Naložený</t>
  </si>
  <si>
    <t>_široký_HETTICH_Polonaložený</t>
  </si>
  <si>
    <t>_široký_HETTICH_Vložený</t>
  </si>
  <si>
    <t>_široký_BLUM_Nakładany</t>
  </si>
  <si>
    <t>_široký_BLUM_Półnakładany</t>
  </si>
  <si>
    <t>_široký_BLUM_Wpuszczany</t>
  </si>
  <si>
    <t>_široký_HETTICH_Nakładany</t>
  </si>
  <si>
    <t>_široký_HETTICH_Półnakładany</t>
  </si>
  <si>
    <t>_široký_HETTICH_Wpuszczany</t>
  </si>
  <si>
    <t>_široký_BLUM_Ráütődő</t>
  </si>
  <si>
    <t>_široký_BLUM_Félig ráütődő</t>
  </si>
  <si>
    <t>_široký_BLUM_Közézáródó</t>
  </si>
  <si>
    <t>_široký_HETTICH_Ráütődő</t>
  </si>
  <si>
    <t>_široký_HETTICH_Félig ráütődő</t>
  </si>
  <si>
    <t>_široký_HETTICH_Közézáródó</t>
  </si>
  <si>
    <t>_široký_BLUM_Overlay</t>
  </si>
  <si>
    <t>_široký_BLUM_Half-overlay</t>
  </si>
  <si>
    <t>_široký_BLUM_Inset</t>
  </si>
  <si>
    <t>_široký_HETTICH_Overlay</t>
  </si>
  <si>
    <t>_široký_HETTICH_Half-overlay</t>
  </si>
  <si>
    <t>_široký_HETTICH_Inset</t>
  </si>
  <si>
    <t xml:space="preserve">Rámy bez skla sa dodávajú v demontovanom stave. </t>
  </si>
  <si>
    <t xml:space="preserve">Rámečky bez skla se dodávají v demontovaném stavu. </t>
  </si>
  <si>
    <t xml:space="preserve">Ramki aluminiowe bez szkła dostarczane są w stanie rozmontowanym. </t>
  </si>
  <si>
    <t>Az üveg nélkül rendelt alukereteket, nem összeszerelt állapotban szállítjuk a hozzá tartozó alkatrészekkel együtt.</t>
  </si>
  <si>
    <t>Aventos_ HKI</t>
  </si>
  <si>
    <t>ASTI</t>
  </si>
  <si>
    <t>Salice</t>
  </si>
  <si>
    <t>závěsy jen pro ROMA</t>
  </si>
  <si>
    <t>Max. gyártható méret 2150 mm</t>
  </si>
  <si>
    <t>Maximální doporučený rozměr je 1500x600. Při objednání většího rozměru se může sklo vysunout z profilu. Za takové reklamace výrobce nenese odpovědnost.</t>
  </si>
  <si>
    <t>Az ajánlott maximális méret 1500 x 600 mm. Ha az ajánlottnál nagyobb méretet rendel, az üveg kicsúszhat a profilból. A gyártó nem vállal felelősséget az ilyen reklamációkért.</t>
  </si>
  <si>
    <t>Maximálny odporúčaný rozmer je 1500x600. Pri objednaní väčšieho rozmeru sa sklo môže vysunúť z profilu. Za také reklamácie výrobca nenesie zodpovednosť.</t>
  </si>
  <si>
    <t>Maksym. zalecany rozmiar to 1500 x 600 mm. Przy zamówieniu większego rozmiaru szyba może wysunąć się z profilu. Producent nie odpowiada za tego typu reklamacje.</t>
  </si>
  <si>
    <t>The max. recommended size is 1500 x 600 mm. When ordering a larger size, the glass can slide out of the profile. The manufacturer is not responsible for such complaints.</t>
  </si>
  <si>
    <t>ROMA</t>
  </si>
  <si>
    <t>ROMA GRIP</t>
  </si>
  <si>
    <t>Výplň rámečku síťka</t>
  </si>
  <si>
    <t>bude výplní síťka?</t>
  </si>
  <si>
    <t>síťky</t>
  </si>
  <si>
    <t>závěsy_ Salice</t>
  </si>
  <si>
    <t>max. rozměr 1000x500mm</t>
  </si>
  <si>
    <t>max. rozmer 1000x500mm</t>
  </si>
  <si>
    <t>maks. wymiar 1000x500mm</t>
  </si>
  <si>
    <t>max. méret 1000x500</t>
  </si>
  <si>
    <t>max. dimension 1000x500</t>
  </si>
  <si>
    <t>Typ síťky</t>
  </si>
  <si>
    <t>Typ sieťky</t>
  </si>
  <si>
    <t>Rodzaj siatky</t>
  </si>
  <si>
    <t>Hálós típus</t>
  </si>
  <si>
    <t>Mesh type</t>
  </si>
  <si>
    <t>Typ skla/síťky</t>
  </si>
  <si>
    <t>Typ skla/sieťky</t>
  </si>
  <si>
    <t>Rodzaj szkła/siatka</t>
  </si>
  <si>
    <t>Üveg/hálós típus</t>
  </si>
  <si>
    <t>Type of glass/mesh</t>
  </si>
  <si>
    <t>_profily_síťka</t>
  </si>
  <si>
    <t>507355-22L3200-výška skříňky=300 – 339 mm</t>
  </si>
  <si>
    <t>507356-22L3500-výška skříňky=340 – 389 mm</t>
  </si>
  <si>
    <t>507357-22L3800-výška skříňky=390 – 540 mm</t>
  </si>
  <si>
    <t>507358-22L3900-výška skříňky=480 – 580 mm</t>
  </si>
  <si>
    <t>507355-22L3200-výška skrinky=300 – 339 mm</t>
  </si>
  <si>
    <t>507356-22L3500-výška skrinky=340 – 389 mm</t>
  </si>
  <si>
    <t>507357-22L3800-výška skrinky=390 – 540 mm</t>
  </si>
  <si>
    <t>507358-22L3900-výška skrinky=480 – 580 mm</t>
  </si>
  <si>
    <t>507355-22L3200-wysokość szafki=300 – 339 mm</t>
  </si>
  <si>
    <t>507356-22L3500-wysokość szafki=340 – 389 mm</t>
  </si>
  <si>
    <t>507357-22L3800-wysokość szafki=390 – 540 mm</t>
  </si>
  <si>
    <t>507358-22L3900-wysokość szafki=480 – 580 mm</t>
  </si>
  <si>
    <t>507355-22L3200-szekrény magassága=300 – 339 mm</t>
  </si>
  <si>
    <t>507356-22L3500-szekrény magassága=340 – 389 mm</t>
  </si>
  <si>
    <t>507357-22L3800-szekrény magassága=390 – 540 mm</t>
  </si>
  <si>
    <t>507358-22L3900-szekrény magassága=480 – 580 mm</t>
  </si>
  <si>
    <t>507355-22L3200-cabinet height=300 – 339 mm</t>
  </si>
  <si>
    <t>507356-22L3500-cabinet height=340 – 389 mm</t>
  </si>
  <si>
    <t>507357-22L3800-cabinet height=390 – 540 mm</t>
  </si>
  <si>
    <t>507358-22L3900-cabinet height=480 – 580 mm</t>
  </si>
  <si>
    <t>_úzký_Blum_naložený_Rocca</t>
  </si>
  <si>
    <t>_úzký_Blum_polonaložený_Rocca</t>
  </si>
  <si>
    <t>_úzký_Blum_vložený_Rocca</t>
  </si>
  <si>
    <t>_úzký_Blum_Wpuszczany_Rocca</t>
  </si>
  <si>
    <t>_úzký_Blum_Közézáródó_Rocca</t>
  </si>
  <si>
    <t>_úzký_Blum_Inset_Rocca</t>
  </si>
  <si>
    <t>_úzký_Blum_Nakładany_Rocca</t>
  </si>
  <si>
    <t>_úzký_Blum_Ráütődő_Rocca</t>
  </si>
  <si>
    <t>_úzký_Blum_Overlay_Rocca</t>
  </si>
  <si>
    <t>_úzký_Blum_Półnakładany_Rocca</t>
  </si>
  <si>
    <t>_úzký_Blum_Félig ráütődő_Rocca</t>
  </si>
  <si>
    <t>_úzký_Blum_Half-overlay_Rocca</t>
  </si>
  <si>
    <t>Frames without glass are delivered disassembled.</t>
  </si>
  <si>
    <t>Závěsy k výklopu</t>
  </si>
  <si>
    <t>Počet závěsů na 1 rámeček</t>
  </si>
  <si>
    <t xml:space="preserve">StrongHinges Clip na eurošroub H0 </t>
  </si>
  <si>
    <t>StrongHinges Clip na euroskrutku H0</t>
  </si>
  <si>
    <t xml:space="preserve">StrongHinges Clip na wkręt euro H0 </t>
  </si>
  <si>
    <t xml:space="preserve">StrongHinges Klip EURO csavarra H0 </t>
  </si>
  <si>
    <t>StrongHinges clip-on on Euro Screw H0</t>
  </si>
  <si>
    <t>StrongHinges Clip na vrut H0</t>
  </si>
  <si>
    <t>StrongHinges Clip na skrutku H0</t>
  </si>
  <si>
    <t>StrongHinges Clip na wkręt H0</t>
  </si>
  <si>
    <t>StrongHinges Klip csavarra H0</t>
  </si>
  <si>
    <t>StrongHinges clip-on to vrut H0</t>
  </si>
  <si>
    <t>StrongHinges Clip na eurošroub H2</t>
  </si>
  <si>
    <t>StrongHinges Clip na euroskrutku H2</t>
  </si>
  <si>
    <t>StrongHinges Clip na wkręt euro H2</t>
  </si>
  <si>
    <t>StrongHinges Klip EURO csavarra H2</t>
  </si>
  <si>
    <t>StrongHinges clip-on to H2 Euro Screw</t>
  </si>
  <si>
    <t>StrongHinges Clip na vrut H2</t>
  </si>
  <si>
    <t>StrongHinges Clip na skrutku H2</t>
  </si>
  <si>
    <t>StrongHinges Clip na wkręt H2</t>
  </si>
  <si>
    <t>StrongHinges Klip csavarra H2</t>
  </si>
  <si>
    <t>StrongHinges clip-on to vrut H2</t>
  </si>
  <si>
    <t>STRONGHINGES</t>
  </si>
  <si>
    <t>úzký_STRONGHINGES_Naložený</t>
  </si>
  <si>
    <t>široký_STRONGHINGES_Naložený</t>
  </si>
  <si>
    <t>široký_STRONGHINGES_Polonaložený</t>
  </si>
  <si>
    <t>široký_STRONGHINGES_Vložený</t>
  </si>
  <si>
    <t>široký_STRONGHINGES_Nakładany</t>
  </si>
  <si>
    <t>široký_STRONGHINGES_Półnakładany</t>
  </si>
  <si>
    <t>široký_STRONGHINGES_Wpuszczany</t>
  </si>
  <si>
    <t>úzký_STRONGHINGES_Ráütődő</t>
  </si>
  <si>
    <t>široký_STRONGHINGES_Ráütődő</t>
  </si>
  <si>
    <t>široký_STRONGHINGES_Félig ráütődő</t>
  </si>
  <si>
    <t>široký_STRONGHINGES_Közézáródó</t>
  </si>
  <si>
    <t>úzký_STRONGHINGES_Overlay</t>
  </si>
  <si>
    <t>široký_STRONGHINGES_Overlay</t>
  </si>
  <si>
    <t>široký_STRONGHINGES_Half-overlay</t>
  </si>
  <si>
    <t>široký_STRONGHINGES_Inset</t>
  </si>
  <si>
    <t>StorngHinges vložený clip bez pružiny</t>
  </si>
  <si>
    <t>StorngHinges inserted clip-on without spring</t>
  </si>
  <si>
    <t>Polonaložená a vložená varianta neexistuje</t>
  </si>
  <si>
    <t xml:space="preserve">Nie istnieje wariant półnakładany i wpuszczany </t>
  </si>
  <si>
    <t>Félig ráütődő és közézáródó változat nem létezik</t>
  </si>
  <si>
    <t>Halfoverlay and inset is not possible</t>
  </si>
  <si>
    <t>Aventos_HF_TOP</t>
  </si>
  <si>
    <t>Aventos_ HL_TOP</t>
  </si>
  <si>
    <t>Aventos_ HS_TOP</t>
  </si>
  <si>
    <t>Aventos HF TOP</t>
  </si>
  <si>
    <t>Aventos_ HK_TOP</t>
  </si>
  <si>
    <t>Aventos HK_XS</t>
  </si>
  <si>
    <t>Aventos_ HK_S</t>
  </si>
  <si>
    <t>Příčky</t>
  </si>
  <si>
    <t xml:space="preserve">Czyste hartowane (dostawa 3 tygodnie) </t>
  </si>
  <si>
    <t>Výplň rámčeka sieťka</t>
  </si>
  <si>
    <t>Brúsenie hrán</t>
  </si>
  <si>
    <t>Szlifowanie krawędzi</t>
  </si>
  <si>
    <t>Edge finishing</t>
  </si>
  <si>
    <t>Élcsiszolás</t>
  </si>
  <si>
    <t>Siena elox (Vlevo a vpravo) + Varna elox (Nahoře a dole)</t>
  </si>
  <si>
    <t>Palio elox (Vlevo a vpravo) + Varna elox (Nahoře a dole)</t>
  </si>
  <si>
    <t>Rocca elox (Vlevo a vpravo) + Varna elox (Nahoře a dole)</t>
  </si>
  <si>
    <t>Siena elox (Vľavo a vpravo) + Varna elox (Hore a dole)</t>
  </si>
  <si>
    <t>Palio elox (Vľavo a vpravo) + Varna elox (Hore a dole)</t>
  </si>
  <si>
    <t>Rocca elox (Vľavo a vpravo) + Varna elox (Hore a dole)</t>
  </si>
  <si>
    <t>Siena elox (Left and Right) + Varna elox (Top and Bottom)</t>
  </si>
  <si>
    <t>Palio elox (Left and Right) + Varna elox (Top and Bottom)</t>
  </si>
  <si>
    <t>Rocca elox (lewa i prawa) + Varna elox (góra i dół)</t>
  </si>
  <si>
    <t>Rocca elox (Left and Right) + Varna elox (Top and Bottom)</t>
  </si>
  <si>
    <t>Siena elox (bal és jobb) + Várna elox (felső és alsó)</t>
  </si>
  <si>
    <t>Palio elox (bal és jobb) + Várna elox (felső és alsó)</t>
  </si>
  <si>
    <t>Rocca elox (bal és jobb) + Várna elox (felső és alsó)</t>
  </si>
  <si>
    <t>StrongHinges S3</t>
  </si>
  <si>
    <t>StrongHinges S3 naložený clip bez pružiny</t>
  </si>
  <si>
    <t xml:space="preserve">StrongHinges S3 Naložený clip bez pružiny </t>
  </si>
  <si>
    <t xml:space="preserve">StrongHinges S3 nakładany clip bez sprężyny </t>
  </si>
  <si>
    <t>StrongHinges S3 ráütődő klip rugó nélkül</t>
  </si>
  <si>
    <t>StrongHinges S3 Overlay clip-on without spring</t>
  </si>
  <si>
    <t>StrongHinges S3 polonaložený clip bez pružiny</t>
  </si>
  <si>
    <t>StrongHinges S3 vložený bez pružiny</t>
  </si>
  <si>
    <t xml:space="preserve">StrongHinges S3 wpuszczany bez sprężyny </t>
  </si>
  <si>
    <t>StrongHinges S3 közézáródó rugó nélkül</t>
  </si>
  <si>
    <t>StrongHinges S3 30° clip bez pružiny</t>
  </si>
  <si>
    <t>StrongHinges S3 30° clip  bez pružiny</t>
  </si>
  <si>
    <t xml:space="preserve">StrongHinges S3 30° clip bez sprężyny </t>
  </si>
  <si>
    <t>StrongHinges S3 30° klip rugó nélkül</t>
  </si>
  <si>
    <t>StrongHinges S3 30° clip-on without spring</t>
  </si>
  <si>
    <t>StrongHinges S3 naložený clip</t>
  </si>
  <si>
    <t>StrongHinges S3 nakładany Clip</t>
  </si>
  <si>
    <t>StrongHinges S3 ráütődő klip</t>
  </si>
  <si>
    <t>StrongHinges S3 Overlay clip-on</t>
  </si>
  <si>
    <t>StrongHinges S3 polonaložený clip</t>
  </si>
  <si>
    <t>StrongHinges S3 półnakładany ¨clip</t>
  </si>
  <si>
    <t>StrongHinges S3 félig ráütődő klip</t>
  </si>
  <si>
    <t>StrongHinges S3 Half-Overlay clip-on</t>
  </si>
  <si>
    <t>StrongHinges S3 vložený clip</t>
  </si>
  <si>
    <t>StrongHinges S3 wpuszczany Clip</t>
  </si>
  <si>
    <t>StrongHinges S3 közézáródó klip</t>
  </si>
  <si>
    <t>StrongHinges S3 Inset clip-on</t>
  </si>
  <si>
    <t>StrongHinges S3 30°clip</t>
  </si>
  <si>
    <t>StrongHinges S3 30°clip-on</t>
  </si>
  <si>
    <t>StrongHinges S3 Clip vrut s excentrem H0</t>
  </si>
  <si>
    <t>StrongHinges S3 Clip vrut s excentrom H0</t>
  </si>
  <si>
    <t>StrongHinges S3 Clip wkręt z mimośrodem H0</t>
  </si>
  <si>
    <t>StrongHinges S3 Excentes klipes csavar H0</t>
  </si>
  <si>
    <t>StrongHinges S3 Clip-on H0 for screw with excenter</t>
  </si>
  <si>
    <t>StrongHinges S3 Clip vrut s excentrem H2</t>
  </si>
  <si>
    <t>StrongHinges S3 Clip vrut s excentrom H2</t>
  </si>
  <si>
    <t>StrongHinges S3 Clip wkręt z mimośrodem H2</t>
  </si>
  <si>
    <t>StrongHinges S3 Excentes klipes csavar H2</t>
  </si>
  <si>
    <t>StrongHinges S3 Clip-on H2 for screw with excenter</t>
  </si>
  <si>
    <t>StrongHingesS5</t>
  </si>
  <si>
    <t>Závěs StrongHingesS5 1</t>
  </si>
  <si>
    <t>Závěs StrongHingesS5 2</t>
  </si>
  <si>
    <t>Závěs StrongHingesS5 3</t>
  </si>
  <si>
    <t>Závěs StrongHingesS5 4</t>
  </si>
  <si>
    <t>Závěs StrongHingesS5 5</t>
  </si>
  <si>
    <t>StrongHingesS3</t>
  </si>
  <si>
    <t>_Závěsy_StrongHingesS5</t>
  </si>
  <si>
    <t>_zavesy_strongHingesS5</t>
  </si>
  <si>
    <t>_kombo_STRONGHINGESS3_polonaložený</t>
  </si>
  <si>
    <t>_úzký_STRONGHINGESS3_polonaložený</t>
  </si>
  <si>
    <t>_kombo_STRONGHINGESS3_vložený</t>
  </si>
  <si>
    <t>_úzký_STRONGHINGESS3_vložený</t>
  </si>
  <si>
    <t>_kombo_STRONGHINGESS3_naložený</t>
  </si>
  <si>
    <t>_úzký_STRONGHINGESS3_naložený</t>
  </si>
  <si>
    <t>_kombo_STRONGHINGESS5_polonaložený</t>
  </si>
  <si>
    <t>_úzký_STRONGHINGESS5_polonaložený</t>
  </si>
  <si>
    <t>_kombo_STRONGHINGESS5_vložený</t>
  </si>
  <si>
    <t>_úzký_STRONGHINGESS5_vložený</t>
  </si>
  <si>
    <t>_kombo_STRONGHINGESS5_naložený</t>
  </si>
  <si>
    <t>_úzký_STRONGHINGESS5_naložený</t>
  </si>
  <si>
    <t>_široký_STRONGHINGESS3_polonaložený</t>
  </si>
  <si>
    <t>_široký_STRONGHINGESS3_vložený</t>
  </si>
  <si>
    <t>_široký_STRONGHINGESS3_naložený</t>
  </si>
  <si>
    <t>_široký_STRONGHINGESS5_polonaložený</t>
  </si>
  <si>
    <t>_široký_STRONGHINGESS5_vložený</t>
  </si>
  <si>
    <t>_široký_STRONGHINGESS5_naložený</t>
  </si>
  <si>
    <t>_úzký_STRONGHINGESS5_Naložený</t>
  </si>
  <si>
    <t>_úzký_STRONGHINGESS3_Naložený</t>
  </si>
  <si>
    <t>_široký_STRONGHINGESS5_Naložený</t>
  </si>
  <si>
    <t>_široký_STRONGHINGESS5_Polonaložený</t>
  </si>
  <si>
    <t>_široký_STRONGHINGESS5_Vložený</t>
  </si>
  <si>
    <t>_široký_STRONGHINGESS3_Naložený</t>
  </si>
  <si>
    <t>_široký_STRONGHINGESS3_Polonaložený</t>
  </si>
  <si>
    <t>_široký_STRONGHINGESS3_Vložený</t>
  </si>
  <si>
    <t>_úzký_STRONGHINGESS5_Nakładany</t>
  </si>
  <si>
    <t>_úzký_STRONGHINGESS3_Nakładany</t>
  </si>
  <si>
    <t>_široký_STRONGHINGESS5_Nakładany</t>
  </si>
  <si>
    <t>_široký_STRONGHINGESS5_Półnakładany</t>
  </si>
  <si>
    <t>_široký_STRONGHINGESS5_Wpuszczany</t>
  </si>
  <si>
    <t>_široký_STRONGHINGESS3_Nakładany</t>
  </si>
  <si>
    <t>_široký_STRONGHINGESS3_Półnakładany</t>
  </si>
  <si>
    <t>_široký_STRONGHINGESS3_Wpuszczany</t>
  </si>
  <si>
    <t>_úzký_STRONGHINGESS5_Ráütődő</t>
  </si>
  <si>
    <t>_úzký_STRONGHINGESS3_Ráütődő</t>
  </si>
  <si>
    <t>_široký_STRONGHINGESS5_Ráütődő</t>
  </si>
  <si>
    <t>_široký_STRONGHINGESS5_Félig ráütődő</t>
  </si>
  <si>
    <t>_široký_STRONGHINGESS5_Közézáródó</t>
  </si>
  <si>
    <t>_široký_STRONGHINGESS3_Ráütődő</t>
  </si>
  <si>
    <t>_široký_STRONGHINGESS3_Félig ráütődő</t>
  </si>
  <si>
    <t>_široký_STRONGHINGESS3_Közézáródó</t>
  </si>
  <si>
    <t>_úzký_STRONGHINGESS5_Overlay</t>
  </si>
  <si>
    <t>_úzký_STRONGHINGESS3_Overlay</t>
  </si>
  <si>
    <t>_široký_STRONGHINGESS5_Overlay</t>
  </si>
  <si>
    <t>_široký_STRONGHINGESS5_Half-overlay</t>
  </si>
  <si>
    <t>_široký_STRONGHINGESS5_Inset</t>
  </si>
  <si>
    <t>_široký_STRONGHINGESS3_Overlay</t>
  </si>
  <si>
    <t>_široký_STRONGHINGESS3_Half-overlay</t>
  </si>
  <si>
    <t>_široký_STRONGHINGESS3_Inset</t>
  </si>
  <si>
    <t>StrongHingesS51</t>
  </si>
  <si>
    <t>StrongHingesS31</t>
  </si>
  <si>
    <t>_Výklopy_StrongLift</t>
  </si>
  <si>
    <t>_vyklopy_stronglift</t>
  </si>
  <si>
    <t>StrongLift</t>
  </si>
  <si>
    <t>StrongLift_2</t>
  </si>
  <si>
    <t>StrongLift_horní</t>
  </si>
  <si>
    <t>StrongLift_spodní</t>
  </si>
  <si>
    <t>Stronglift_horní</t>
  </si>
  <si>
    <t>Stronglift_spodní</t>
  </si>
  <si>
    <t>300285 - P2O záves bez pružiny / tlmenia - strieborná</t>
  </si>
  <si>
    <t>300285 - P2O zawias bez sprężyny/tłumienie - srebro</t>
  </si>
  <si>
    <t>300285 - P2O závěs bez pružiny/tlumení - stříbrná</t>
  </si>
  <si>
    <t>hettich P2O 300285</t>
  </si>
  <si>
    <t>hettich P2O 245723</t>
  </si>
  <si>
    <t>Wypełnienie z siatki</t>
  </si>
  <si>
    <t>StrongLift_gorny</t>
  </si>
  <si>
    <t>StrongLift_horný</t>
  </si>
  <si>
    <t>StrongLift_spodný</t>
  </si>
  <si>
    <t>StrongLift_felső</t>
  </si>
  <si>
    <t>StrongLift_upper</t>
  </si>
  <si>
    <t>StrongLift_dolny</t>
  </si>
  <si>
    <t>StrongLift_alsó</t>
  </si>
  <si>
    <t>StrongLift_bottom</t>
  </si>
  <si>
    <t>korpusový závěs</t>
  </si>
  <si>
    <t>korpusový záves</t>
  </si>
  <si>
    <t>zawias do korpusu</t>
  </si>
  <si>
    <t>corpus hinge</t>
  </si>
  <si>
    <t>tlmený</t>
  </si>
  <si>
    <t>z tłumieniem</t>
  </si>
  <si>
    <t>soft-closing</t>
  </si>
  <si>
    <t>gorny</t>
  </si>
  <si>
    <t>dolny</t>
  </si>
  <si>
    <t>felső</t>
  </si>
  <si>
    <t>alsó</t>
  </si>
  <si>
    <t>upper</t>
  </si>
  <si>
    <t>korpusz pánt</t>
  </si>
  <si>
    <t>Úzky</t>
  </si>
  <si>
    <t>spodní_K12</t>
  </si>
  <si>
    <t>spodní_kraby</t>
  </si>
  <si>
    <t>hettich dolny 300282</t>
  </si>
  <si>
    <t>blum dolny 12106</t>
  </si>
  <si>
    <t>strong dolny 350863</t>
  </si>
  <si>
    <t>hettich dolny 232346</t>
  </si>
  <si>
    <t>blum dolny 12052</t>
  </si>
  <si>
    <t>strong dolny 350834</t>
  </si>
  <si>
    <t>hettich közézáródó csillapítós 300279</t>
  </si>
  <si>
    <t>strong közézáródó csillapítós 350863</t>
  </si>
  <si>
    <t>strong közézáródó csillapítós 92584T</t>
  </si>
  <si>
    <t>hettich közézáródó csillapítós 104717</t>
  </si>
  <si>
    <t>blum közézáródó csillapítós 12047</t>
  </si>
  <si>
    <t>strong közézáródó csillapítós 350827</t>
  </si>
  <si>
    <t>spodní_Kraby</t>
  </si>
  <si>
    <t>alsó_K12</t>
  </si>
  <si>
    <t>alsó_kraby</t>
  </si>
  <si>
    <t>Nákresy profilov a spoj. kovania</t>
  </si>
  <si>
    <t>Dólne K12</t>
  </si>
  <si>
    <t>Dólne Kraby</t>
  </si>
  <si>
    <t>upper_K12</t>
  </si>
  <si>
    <t>bottom_kraby</t>
  </si>
  <si>
    <t>Přesáhli jste maximální rozměr skla</t>
  </si>
  <si>
    <t>Presiahli ste maximálny rozmer skla</t>
  </si>
  <si>
    <t>Przekroczono maksymalny wymiar szkła</t>
  </si>
  <si>
    <t>You have exceeded the maximum size of the glass</t>
  </si>
  <si>
    <t>Túllépte a maximális üvegméretet</t>
  </si>
  <si>
    <t>Rocca black matt - maximum profile length 2150 mm</t>
  </si>
  <si>
    <t>Varna black - maximum profile length 1200 mm</t>
  </si>
  <si>
    <t>Verona gold brushed - maximum profile length 2150 mm</t>
  </si>
  <si>
    <t>Vivaro gold brushed - maximum profile length 2150 mm</t>
  </si>
  <si>
    <t>onyx</t>
  </si>
  <si>
    <t>siatka stal czarny mat RAL 9005– oko 8x4x1 mm</t>
  </si>
  <si>
    <t>síťka ocel černá mat RAL 9005 – rozměr oka 8x4x1 mm</t>
  </si>
  <si>
    <t xml:space="preserve">Master  Ligne poziomo </t>
  </si>
  <si>
    <t>blum tip-on 13764</t>
  </si>
  <si>
    <t>blum tip-on 12023</t>
  </si>
  <si>
    <t>520405 SALICE AIR SOFT niklový závěs s úhlem otevírání 92° sada 2ks</t>
  </si>
  <si>
    <t>520405 SALICE AIR SOFT zawiasy niklowe o kącie otwarcia 92° kpl. 2 szt</t>
  </si>
  <si>
    <t>520405 SALICE AIR AIR SOFT nikkel pánt 92°-os nyitási szöggel 2 db-os készlet</t>
  </si>
  <si>
    <t>520406 SALICE AIR PUSH TO OPEN niklový závěs s adaptérem sada 2ks</t>
  </si>
  <si>
    <t>520406 SALICE AIR PUSH TO OPEN zawiasy niklowe z zestawem adapterów 2 szt</t>
  </si>
  <si>
    <t>520406 SALICE AIR PUSH TO OPEN nikkel pánt adapterrel 2 darabos készlet</t>
  </si>
  <si>
    <t>520407 SALICE AIR PUSH TO OPEN niklový závěs s adaptérem sada 2ks</t>
  </si>
  <si>
    <t>520407 SALICE AIR PUSH TO OPEN zawiasy niklowe z zestawem adapterów 2 szt</t>
  </si>
  <si>
    <t>520408 SALICE AIR SOFT niklový závěs s adaptérem sada 2ks</t>
  </si>
  <si>
    <t>520408 SALICE AIR SOFT zawiasy niklowe z zestawem adapterów 2 szt</t>
  </si>
  <si>
    <t>520408 SALICE AIR SOFT nikkel pánt adapterrel, 2 darabos készlet</t>
  </si>
  <si>
    <t>520410 SALICE AIR SOFT TITANIUM závěs s úhlem otevírání 92' sada 2ks</t>
  </si>
  <si>
    <t>520410 SALICE AIR SOFT TITANIUM  zawiasy o kącie otwarcia 92° kpl. 2 szt</t>
  </si>
  <si>
    <t>520410 SALICE AIR SOFT TITANIUM pánt 92°-os nyitási szöggel 2 darabos készlet</t>
  </si>
  <si>
    <t>520411 SALICE AIR TITANIUM PUSH TO OPEN závěs sada 2ks</t>
  </si>
  <si>
    <t>520411 SALICE AIR TITANIUM PUSH TO OPEN zawiasy komplet 2 szt</t>
  </si>
  <si>
    <t>520411 SALICE AIR SALICE AIR TITANIUM PUSH TO OPEN pánt 2 darabos készlet</t>
  </si>
  <si>
    <t>520412 SALICE AIR TITANIUM PUSH TO OPEN závěs s adaptérem sada 2ks</t>
  </si>
  <si>
    <t>520412 SALICE AIR TITANIUM PUSH TO OPEN zawiasy z zestawem adapterów 2 szt</t>
  </si>
  <si>
    <t>520412 SALICE AIR TITANIUM PUSH TO OPEN pánt adapterrel 2 db-os készlet</t>
  </si>
  <si>
    <t>520413 SALICE AIR SOFT TITANIUM závěs s adaptérem sada 2ks</t>
  </si>
  <si>
    <t>520413 SALICE AIR SOFT TITANIUM zawiasy z zestawem adapterów 2 szt</t>
  </si>
  <si>
    <t>520413 SALICE AIR SOFT TITANIUM pánt adapterrel, 2 darabos készlet</t>
  </si>
  <si>
    <t>Pisa gold - maximum profile length 2150 mm</t>
  </si>
  <si>
    <t>Podmínky a doporučení pro správné objednání hliníkových rámečků</t>
  </si>
  <si>
    <t>Podmienky a odporúčania pre správne objednanie hliníkových rámčekov</t>
  </si>
  <si>
    <t>Az alumínium keretek helyes megrendelésének feltételei és ajánlásai</t>
  </si>
  <si>
    <t>Conditions and recomendations for correct ordering aluminium frames</t>
  </si>
  <si>
    <t>Obecná doporučení:</t>
  </si>
  <si>
    <t>Všeobecné odporúčania:</t>
  </si>
  <si>
    <t>Általános javaslatok:</t>
  </si>
  <si>
    <t>General recomendations:</t>
  </si>
  <si>
    <t>Při vyplňování formuláře postupujte vždy shora dolů.</t>
  </si>
  <si>
    <t>Pri vypĺňaní formulára postupujte vždy zhora nadol.</t>
  </si>
  <si>
    <t>Az űrlap kitöltésekor mindig felülről lefelé haladjon.</t>
  </si>
  <si>
    <t>Fill in the form step by step from up towards down.</t>
  </si>
  <si>
    <t>Provedete-li zpětně změnu, je potřeba znovu zadat položky níže od této změny.</t>
  </si>
  <si>
    <t>Ak spätne vykonáte zmenu, musíte znovu zadať položky nižšie od tejto zmeny.</t>
  </si>
  <si>
    <t>Ha visszamenőlegesen változtat, akkor a módosítástól kezdődően újra be kell írnia az alatta lévő adatokat.</t>
  </si>
  <si>
    <t>If you make any change, you have to continue again from this changed item</t>
  </si>
  <si>
    <t xml:space="preserve">Před odesláním objednávky zkontrolujte formulář, zda obsahuje pouze Vámi požadované rámečky.     </t>
  </si>
  <si>
    <t xml:space="preserve">Pred odoslaním objednávky skontrolujte, či formulár obsahuje len vami požadované rámčeky.     </t>
  </si>
  <si>
    <t xml:space="preserve">A megrendelés elküldése előtt ellenőrizze az űrlapot, hogy csak az Ön által kért kereteket tartalmazza-e.     </t>
  </si>
  <si>
    <t>Before you order, make sure that the form contains only the desired frames</t>
  </si>
  <si>
    <r>
      <t xml:space="preserve">Standardní doba dodání zakázky je maximálně tři týdny. Pro upřesnění termínu dodání prosím kontaktujte </t>
    </r>
    <r>
      <rPr>
        <b/>
        <sz val="11"/>
        <color rgb="FFFF0000"/>
        <rFont val="Calibri"/>
        <family val="2"/>
        <scheme val="minor"/>
      </rPr>
      <t>pracovníky</t>
    </r>
    <r>
      <rPr>
        <sz val="11"/>
        <color theme="1"/>
        <rFont val="Calibri"/>
        <family val="2"/>
        <charset val="238"/>
        <scheme val="minor"/>
      </rPr>
      <t xml:space="preserve"> Zákaznického servisu.</t>
    </r>
  </si>
  <si>
    <t>Štandardná dodacia lehota je maximálne tri týždne. Pre upresnenie termínu dodania kontaktujte náš Zákaznícky servis.</t>
  </si>
  <si>
    <t>A standard szállítási idő legfeljebb három hét. Kérjük, a szállítási határidő meghatározásához vegye fel a kapcsolatot ügyfélszolgálati munkatársainkkal.</t>
  </si>
  <si>
    <t>Usual delivery is maximaly three weeks. For precise date please contact our Customers service</t>
  </si>
  <si>
    <t>Praktické informace:</t>
  </si>
  <si>
    <t>Praktické informácie:</t>
  </si>
  <si>
    <t>Praktikus információk:</t>
  </si>
  <si>
    <t>Practical information:</t>
  </si>
  <si>
    <t>Pro vyšší rozměr rámečku než 2500 mm doporučujeme použít dělící příčky, v opačném případě hrozí prohnutí profilu nebo uvolnění skla z profilu.</t>
  </si>
  <si>
    <t>Pri rozmeroch rámu vyšších ako 2500 mm odporúčame použiť deliace prvky, inak hrozí riziko ohnutia profilu alebo uvoľnenia skla z profilu.</t>
  </si>
  <si>
    <t>A 2500 mm-nél nagyobb keretméretek esetén ajánljuk a választóelemek használatát, különben fennáll a veszélye annak, hogy a profil meghajlik, vagy az üveg kiválik a profilból.</t>
  </si>
  <si>
    <t>For bigger frames then 2500mm we recomend to use middle profiles, otherwise there is a risk of bending profile or glass may get loose.</t>
  </si>
  <si>
    <r>
      <t xml:space="preserve">K nadrozměrným rámečkům (nad rozměr 1200 x 800 mm), může být účtován příplatek za speciální balení a dopravu (více informací u </t>
    </r>
    <r>
      <rPr>
        <b/>
        <sz val="11"/>
        <color rgb="FFFF0000"/>
        <rFont val="Calibri"/>
        <family val="2"/>
        <scheme val="minor"/>
      </rPr>
      <t>pracovníků</t>
    </r>
    <r>
      <rPr>
        <sz val="11"/>
        <color theme="1"/>
        <rFont val="Calibri"/>
        <family val="2"/>
        <charset val="238"/>
        <scheme val="minor"/>
      </rPr>
      <t xml:space="preserve"> Zákaznického servisu).</t>
    </r>
  </si>
  <si>
    <t>U nadrozmerných rámov (nad 1200 x 800 mm) sa môže účtovať príplatok za špeciálne balenie a prepravu (bližšie informácie vám poskytne Zákaznícky servis).</t>
  </si>
  <si>
    <t>A túlméretes (1200 x 800 mm-nél nagyobb) keretekért külön díjat számíthatunk fel a speciális csomagolásért és szállításért (további információért forduljon az ügyfélszolgálathoz).</t>
  </si>
  <si>
    <t>An extra fee may be charged when ordering frames larger than 1200 x 800 mm. For more information please contact our Customer service</t>
  </si>
  <si>
    <t>Síťka v rámečku je standardně orientovaná horizontálně. Pokud mají být otvory síťky orientované vertikálně, uvěďte toto do poznámky.</t>
  </si>
  <si>
    <t>Mriežka v ráme je štandardne orientovaná horizontálne. Ak majú byť otvory v sieti orientované vertikálne, uveďte to v poznámke.</t>
  </si>
  <si>
    <t>A keretben lévő rács alapesetben vízszintesen orientált. Ha a rácslyukakat függőlegesen kell elhelyezni, kérjük, ezt a megjegyzésben tüntesse fel.</t>
  </si>
  <si>
    <t>Steel mesh is normally turned horizantaly. Shall the holes in the mesh be turned verticaly, make a note.</t>
  </si>
  <si>
    <t>Potvrzuji, že rozumím a přijímám výše uvedené podmínky a doporučení.</t>
  </si>
  <si>
    <t>Potvrdzujem, že som porozumel a súhlasím s uvedenými podmienkami a odporúčaniami.</t>
  </si>
  <si>
    <t>Megerősítem, hogy megértettem és elfogadom a fenti feltételeket és ajánlásokat.</t>
  </si>
  <si>
    <t>K nadrozměrným rámečkům (nad rozměr 1200 x 800 mm), může být účtován příplatek za speciální balení a dopravu (více informací u pracovníků Zákaznického servisu).</t>
  </si>
  <si>
    <t>Ogólne zalecenia:</t>
  </si>
  <si>
    <t>Praktyczne informacje:</t>
  </si>
  <si>
    <t>Dla większych wymiarów ramki niż 2500 mm zalecamy użycie szprosów, w przeciwnym razie istnieje ryzyko wygięcia profilu lub wysunięcia szkła z profilu.</t>
  </si>
  <si>
    <t>Do ramek ponadwymiarowych (ponad wymiar 1200 x 800 mm) może zostać doliczona opłata za specjalne pakowanie i transport (więcej informacji u pracowników Obsługi Klienta).</t>
  </si>
  <si>
    <t>Siatka w ramce jest standardowo ustawiona poziomo. Jeśli otwory siatki mają być ustawione pionowo, prosimy o wskazanie tego w uwagach.</t>
  </si>
  <si>
    <t>Potwierdzam, że rozumiem i akceptuję powyższe warunki i zalecenia.</t>
  </si>
  <si>
    <t>Vždy používejte aktuální verzi formuláře, který je dostupný na našich stránkách.</t>
  </si>
  <si>
    <t>22L3200-wysokość szafki=300 – 339 mm</t>
  </si>
  <si>
    <t>22L3500-wysokość szafki=340 – 389 mm</t>
  </si>
  <si>
    <t>22L3900-wysokość szafki=480 – 580 mm</t>
  </si>
  <si>
    <t>22L3800-wysokość szafki=390 – 540 mm</t>
  </si>
  <si>
    <t>350863 - Naložený s pružinou a tlmením - strieborná</t>
  </si>
  <si>
    <t>118033 - Naložený s pružinou a tlumením - stříbrná</t>
  </si>
  <si>
    <t>118033 - Nakładany ze sprężyną z tłumieniem - srebro</t>
  </si>
  <si>
    <t>12106 - Naložený s pružinou bez tlumení - stříbrná</t>
  </si>
  <si>
    <t>12106 - Nakładany ze sprężyną bez tłumienia - srebro</t>
  </si>
  <si>
    <t>306329 - Naložený s pružinou bez tlumení - černá</t>
  </si>
  <si>
    <t>306329 - Nakładany ze sprężyną bez tłumienia - czarny</t>
  </si>
  <si>
    <t>12109 - Naložený tip-on bez pružiny/tlumení - stříbrná</t>
  </si>
  <si>
    <t>12109 - Nakładany tip-on bez sprężyny/tłumienie - srebro</t>
  </si>
  <si>
    <t>497120 - Naložený tip-on bez pružiny/tlumení - onyx</t>
  </si>
  <si>
    <t>497120 - Nakładany tip-on bez sprężyny/tłumienie - onyx</t>
  </si>
  <si>
    <t>118120 - Polonaložený s pružinou a tlumením - stříbrná</t>
  </si>
  <si>
    <t>118120 - Półnakładany ze sprężyną z tłumieniem - srebro</t>
  </si>
  <si>
    <t>12107 - Polonaložený s pružinou bez tlumení - stříbrná</t>
  </si>
  <si>
    <t>12107 - Półnakładany ze sprężyną bez tłumienia - srebro</t>
  </si>
  <si>
    <t>118121 - Vložený s pružinou a tlumením - stříbrná</t>
  </si>
  <si>
    <t>118121 - Wpuszczany ze sprężyną z tłumieniem - srebro</t>
  </si>
  <si>
    <t>12108 - Vložený s pružinou bez tlumení - stříbrná</t>
  </si>
  <si>
    <t>12108 - Wpuszczany ze sprężyną bez tłumienia - srebro</t>
  </si>
  <si>
    <t>300279 - Naložený s pružinou a tlumením - stříbrná</t>
  </si>
  <si>
    <t>300279 - Nakładany ze sprężyną z tłumieniem - srebro</t>
  </si>
  <si>
    <t>344697 - Naložený s pružinou a tlumením - černá</t>
  </si>
  <si>
    <t>344697 - Nakładany ze sprężyną z tłumieniem - czarny</t>
  </si>
  <si>
    <t>300282 - Naložený s pružinou bez tlumení - stříbrná</t>
  </si>
  <si>
    <t>300282 - Nakładany ze sprężyną bez tłumienia - srebro</t>
  </si>
  <si>
    <t>300285 - Naložený tip-on bez pružiny/tlumení - stříbrná</t>
  </si>
  <si>
    <t>300285 - Nakładany tip-on bez sprężyny/tłumienie - srebro</t>
  </si>
  <si>
    <t>300280 - Polonaložený s pružinou a tlumením - stříbrná</t>
  </si>
  <si>
    <t>300280 - Półnakładany ze sprężyną z tłumieniem - srebro</t>
  </si>
  <si>
    <t>300283 - Polonaložený s pružinou bez tlumení - stříbrná</t>
  </si>
  <si>
    <t>300283 - Półnakładany ze sprężyną bez tłumienia - srebro</t>
  </si>
  <si>
    <t>300286 - Polonaložený tip-on bez pružiny/tlumení - stříbrná</t>
  </si>
  <si>
    <t>300286 - Półnakładany tip-on bez sprężyny/tłumienie - srebro</t>
  </si>
  <si>
    <t>300281 - Vložený s pružinou a tlumením - stříbrná</t>
  </si>
  <si>
    <t>300281 - Wpuszczany ze sprężyną z tłumieniem - srebro</t>
  </si>
  <si>
    <t>300284 - Vložený s pružinou bez tlumení - stříbrná</t>
  </si>
  <si>
    <t>300284 - Wpuszczany ze sprężyną bez tłumienia - srebro</t>
  </si>
  <si>
    <t>300287 - Vložený tip-on bez pružiny/tlumení - stříbrná</t>
  </si>
  <si>
    <t>300287 - Wpuszczany tip-on bez sprężyny/tłumienie - srebro</t>
  </si>
  <si>
    <t>92584T - Nakładany ze sprężyną z tłumieniem - srebro</t>
  </si>
  <si>
    <t>350863 - Naložený s pružinou a tlumením - stříbrná</t>
  </si>
  <si>
    <t>350863 - Nakładany ze sprężyną z tłumieniem - srebro</t>
  </si>
  <si>
    <t>350864 - Naložený tip-on bez pružiny/tlumení - stříbrná</t>
  </si>
  <si>
    <t>350864 - Nakładany tip-on bez sprężyny/tłumienie - srebro</t>
  </si>
  <si>
    <t>12047 - Naložený s pružinou a tlumením - stříbrná</t>
  </si>
  <si>
    <t>12047 - Nakładany ze sprężyną z tłumieniem - srebro</t>
  </si>
  <si>
    <t>306317 - Naložený s pružinou a tlumením - černá</t>
  </si>
  <si>
    <t>306317 - Nakładany ze sprężyną z tłumieniem - czarny</t>
  </si>
  <si>
    <t>12052 - Naložený s pružinou bez tlumení - stříbrná</t>
  </si>
  <si>
    <t>12052 - Nakładany ze sprężyną bez tłumienia - srebro</t>
  </si>
  <si>
    <t>226668 - Naložený tip-on bez pružiny/tlumení - stříbrná</t>
  </si>
  <si>
    <t>226668 - Nakładany tip-on bez sprężyny/tłumienie - srebro</t>
  </si>
  <si>
    <t>318173 - Naložený tip-on bez pružiny/tlumení - onyx</t>
  </si>
  <si>
    <t>318173 - Nakładany tip-on bez sprężyny/tłumienie - onyx</t>
  </si>
  <si>
    <t>12048 - Polonaložený s pružinou a tlumením - stříbrná</t>
  </si>
  <si>
    <t>12048 - Półnakładany ze sprężyną z tłumieniem - srebro</t>
  </si>
  <si>
    <t>306318 - Polonaložený s pružinou a tlumením - černá</t>
  </si>
  <si>
    <t>306318 - Półnakładany ze sprężyną z tłumieniem - czarny</t>
  </si>
  <si>
    <t>12053 - Polonaložený s pružinou bez tlumení - stříbrná</t>
  </si>
  <si>
    <t>12053 - Półnakładany ze sprężyną bez tłumienia - srebro</t>
  </si>
  <si>
    <t>226670 - Polonaložený tip-on bez pružiny/tlumení - stříbrná</t>
  </si>
  <si>
    <t>226670 - Półnakładany tip-on bez sprężyny/tłumienie - srebro</t>
  </si>
  <si>
    <t>12049 - Vložený s pružinou a tlumením - stříbrná</t>
  </si>
  <si>
    <t>12049 - Wpuszczany ze sprężyną z tłumieniem - srebro</t>
  </si>
  <si>
    <t>306319 - Vložený s pružinou a tlumením - černá</t>
  </si>
  <si>
    <t>306319 - Wpuszczany ze sprężyną z tłumieniem - czarny</t>
  </si>
  <si>
    <t>12059 - Vložený s pružinou bez tlumení - stříbrná</t>
  </si>
  <si>
    <t>12059 - Wpuszczany ze sprężyną bez tłumienia - srebro</t>
  </si>
  <si>
    <t>226671 - Vložený tip-on bez pružiny/tlumení - stříbrná</t>
  </si>
  <si>
    <t>226671 - Wpuszczany tip-on bez sprężyny/tłumienie - srebro</t>
  </si>
  <si>
    <t>104717 - Naložený s pružinou a tlumením - stříbrná</t>
  </si>
  <si>
    <t>104717 - Nakładany ze sprężyną z tłumieniem - srebro</t>
  </si>
  <si>
    <t>344691 - Naložený s pružinou a tlumením - černá</t>
  </si>
  <si>
    <t>344691 - Nakładany ze sprężyną z tłumieniem - czarny</t>
  </si>
  <si>
    <t>232346 - Naložený s pružinou bez tlumení - stříbrná</t>
  </si>
  <si>
    <t>232346 - Nakładany ze sprężyną bez tłumienia - srebro</t>
  </si>
  <si>
    <t>245723 - Naložený tip-on bez pružiny/tlumení - stříbrná</t>
  </si>
  <si>
    <t>245723 - Nakładany tip-on bez sprężyny/tłumienie - srebro</t>
  </si>
  <si>
    <t>344694 - Naložený tip-on bez pružiny/tlumení - černá</t>
  </si>
  <si>
    <t>344694 - Nakładany tip-on bez sprężyny/tłumienie - czarny</t>
  </si>
  <si>
    <t>104718 - Polonaložený s pružinou a tlumením - stříbrná</t>
  </si>
  <si>
    <t>104718 - Półnakładany ze sprężyną z tłumieniem - srebro</t>
  </si>
  <si>
    <t>344692 - Polonaložený s pružinou a tlumením - černá</t>
  </si>
  <si>
    <t>344692 - Półnakładany ze sprężyną z tłumieniem - czarny</t>
  </si>
  <si>
    <t>232347 - Polonaložený s pružinou bez tlumení - stříbrná</t>
  </si>
  <si>
    <t>232347 - Półnakładany ze sprężyną bez tłumienia - srebro</t>
  </si>
  <si>
    <t>245724 - Polonaložený tip-on bez pružiny/tlumení - stříbrná</t>
  </si>
  <si>
    <t>245724 - Półnakładany tip-on bez sprężyny/tłumienie - srebro</t>
  </si>
  <si>
    <t>344695 - Polonaložený tip-on bez pružiny/tlumení - černá</t>
  </si>
  <si>
    <t>344695 - Półnakładany tip-on bez sprężyny/tłumienie - czarny</t>
  </si>
  <si>
    <t>104719 - Vložený s pružinou a tlumením - stříbrná</t>
  </si>
  <si>
    <t>104719 - Wpuszczany ze sprężyną z tłumieniem - srebro</t>
  </si>
  <si>
    <t>344693 - Vložený s pružinou a tlumením - černá</t>
  </si>
  <si>
    <t>344693 - Wpuszczany ze sprężyną z tłumieniem - czarny</t>
  </si>
  <si>
    <t>232348 - Vložený s pružinou bez tlumení - stříbrná</t>
  </si>
  <si>
    <t>232348 - Wpuszczany ze sprężyną bez tłumienia - srebro</t>
  </si>
  <si>
    <t>245725 - Vložený tip-on bez pružiny/tlumení - stříbrná</t>
  </si>
  <si>
    <t>245725 - Wpuszczany tip-on bez sprężyny/tłumienie - srebro</t>
  </si>
  <si>
    <t>344696 - Vložený tip-on bez pružiny/tlumení - černá</t>
  </si>
  <si>
    <t>344696 - Wpuszczany tip-on bez sprężyny/tłumienie - czarny</t>
  </si>
  <si>
    <t>92580T - Naložený s pružinou a tlumením - stříbrná</t>
  </si>
  <si>
    <t>92580T - Nakładany ze sprężyną z tłumieniem - srebro</t>
  </si>
  <si>
    <t>198818 - Naložený s pružinou bez tlumení - stříbrná</t>
  </si>
  <si>
    <t>198818 - Nakładany ze sprężyną bez tłumienia - srebro</t>
  </si>
  <si>
    <t>92581T - Polonaložený s pružinou a tlumením - stříbrná</t>
  </si>
  <si>
    <t>92581T - Półnakładany ze sprężyną z tłumieniem - srebro</t>
  </si>
  <si>
    <t>198819 - Polonaložený s pružinou bez tlumení - stříbrná</t>
  </si>
  <si>
    <t>198819 - Półnakładany ze sprężyną bez tłumienia - srebro</t>
  </si>
  <si>
    <t>92582T - Vložený s pružinou a tlumením - stříbrná</t>
  </si>
  <si>
    <t>92582T - Wpuszczany ze sprężyną z tłumieniem - srebro</t>
  </si>
  <si>
    <t>198820 - Vložený s pružinou bez tlumení - stříbrná</t>
  </si>
  <si>
    <t>198820 - Wpuszczany ze sprężyną bez tłumienia - srebro</t>
  </si>
  <si>
    <t>350827 - Naložený s pružinou a tlumením - stříbrná</t>
  </si>
  <si>
    <t>350827 - Nakładany ze sprężyną z tłumieniem - srebro</t>
  </si>
  <si>
    <t>350834 - Naložený s pružinou bez tlumení - stříbrná</t>
  </si>
  <si>
    <t>350834 - Nakładany ze sprężyną bez tłumienia - srebro</t>
  </si>
  <si>
    <t>350837 - Naložený tip-on bez pružiny/tlumení - stříbrná</t>
  </si>
  <si>
    <t>350837 - Nakładany tip-on bez sprężyny/tłumienie - srebro</t>
  </si>
  <si>
    <t>350828 - Polonaložený s pružinou a tlumením - stříbrná</t>
  </si>
  <si>
    <t>350828 - Półnakładany ze sprężyną z tłumieniem - srebro</t>
  </si>
  <si>
    <t>350835 - Polonaložený s pružinou bez tlumení - stříbrná</t>
  </si>
  <si>
    <t>350835 - Półnakładany ze sprężyną bez tłumienia - srebro</t>
  </si>
  <si>
    <t>350838 - Polonaložený tip-on bez pružiny/tlumení - stříbrná</t>
  </si>
  <si>
    <t>350838 - Półnakładany tip-on bez sprężyny/tłumienie - srebro</t>
  </si>
  <si>
    <t>350829 - Vložený s pružinou a tlumením - stříbrná</t>
  </si>
  <si>
    <t>350829 - Wpuszczany ze sprężyną z tłumieniem - srebro</t>
  </si>
  <si>
    <t>350836 - Vložený s pružinou bez tlumení - stříbrná</t>
  </si>
  <si>
    <t>350836 - Wpuszczany ze sprężyną bez tłumienia - srebro</t>
  </si>
  <si>
    <t>350839 - Vložený tip-on bez pružiny/tlumení - stříbrná</t>
  </si>
  <si>
    <t>350839 - Wpuszczany tip-on bez sprężyny/tłumienie - srebro</t>
  </si>
  <si>
    <t>118033 - Naložený s pružinou a tlmením - strieborná</t>
  </si>
  <si>
    <t>12106 - Naložený s pružinou bez tlmenia - strieborná</t>
  </si>
  <si>
    <t>306329 - Naložený s pružinou bez tlmenia - čierna</t>
  </si>
  <si>
    <t>12109 - Naložený tip-on bez pružiny / tlmenia - strieborná</t>
  </si>
  <si>
    <t>497120 - Naložený tip-on bez pružiny / tlmenia - onyx</t>
  </si>
  <si>
    <t>118120 - Polonaložený s pružinou a tlmením - strieborná</t>
  </si>
  <si>
    <t>12107 - Polonaložený s pružinou bez tlmenia - strieborná</t>
  </si>
  <si>
    <t>118121 - Vložený s pružinou a tlmením - strieborná</t>
  </si>
  <si>
    <t>12108 - Vložený s pružinou bez tlmenia - strieborná</t>
  </si>
  <si>
    <t>300279 - Naložený s pružinou a tlmením - strieborná</t>
  </si>
  <si>
    <t>344697 - Naložený s pružinou a tlmením - čierna</t>
  </si>
  <si>
    <t>300282 - Naložený s pružinou bez tlmenia - strieborná</t>
  </si>
  <si>
    <t>300285 - Naložený tip-on bez pružiny / tlmenia - strieborná</t>
  </si>
  <si>
    <t>300280 - Polonaložený s pružinou a tlmením - strieborná</t>
  </si>
  <si>
    <t>300283 - Polonaložený s pružinou bez tlmenia - strieborná</t>
  </si>
  <si>
    <t>300286 - Polonaložený tip-on bez pružiny / tlmenia - strieborná</t>
  </si>
  <si>
    <t>300281 - Vložený s pružinou a tlmením - strieborná</t>
  </si>
  <si>
    <t>300284 - Vložený s pružinou bez tlmenia - strieborná</t>
  </si>
  <si>
    <t>300287 - Vložený tip-on bez pružiny / tlmenia - strieborná</t>
  </si>
  <si>
    <t>92584T - Naložený s pružinou a tlmením - strieborná</t>
  </si>
  <si>
    <t>350864 - Naložený tip-on bez pružiny / tlmenia - strieborná</t>
  </si>
  <si>
    <t>12047 - Naložený s pružinou a tlmením - strieborná</t>
  </si>
  <si>
    <t>306317 - Naložený s pružinou a tlmením - čierna</t>
  </si>
  <si>
    <t>12052 - Naložený s pružinou bez tlmenia - strieborná</t>
  </si>
  <si>
    <t>226668 - Naložený tip-on bez pružiny / tlmenia - strieborná</t>
  </si>
  <si>
    <t>318173 - Naložený tip-on bez pružiny / tlmenia - onyx</t>
  </si>
  <si>
    <t>12048 - Polonaložený s pružinou a tlmením - strieborná</t>
  </si>
  <si>
    <t>306318 - Polonaložený s pružinou a tlmením - čierna</t>
  </si>
  <si>
    <t>12053 - Polonaložený s pružinou bez tlmenia - strieborná</t>
  </si>
  <si>
    <t>226670 - Polonaložený tip-on bez pružiny / tlmenia - strieborná</t>
  </si>
  <si>
    <t>12049 - Vložený s pružinou a tlmením - strieborná</t>
  </si>
  <si>
    <t>306319 - Vložený s pružinou a tlmením - čierna</t>
  </si>
  <si>
    <t>12059 - Vložený s pružinou bez tlmenia - strieborná</t>
  </si>
  <si>
    <t>226671 - Vložený tip-on bez pružiny / tlmenia - strieborná</t>
  </si>
  <si>
    <t>104717 - Naložený s pružinou a tlmením - strieborná</t>
  </si>
  <si>
    <t>344691 - Naložený s pružinou a tlmením - čierna</t>
  </si>
  <si>
    <t>232346 - Naložený s pružinou bez tlmenia - strieborná</t>
  </si>
  <si>
    <t>245723 - Naložený tip-on bez pružiny / tlmenia - strieborná</t>
  </si>
  <si>
    <t>344694 - Naložený tip-on bez pružiny / tlmenia - čierna</t>
  </si>
  <si>
    <t>104718 - Polonaložený s pružinou a tlmením - strieborná</t>
  </si>
  <si>
    <t>344692 - Polonaložený s pružinou a tlmením - čierna</t>
  </si>
  <si>
    <t>232347 - Polonaložený s pružinou bez tlmenia - strieborná</t>
  </si>
  <si>
    <t>245724 - Polonaložený tip-on bez pružiny / tlmenia - strieborná</t>
  </si>
  <si>
    <t>344695 - Polonaložený tip-on bez pružiny / tlmenia - čierna</t>
  </si>
  <si>
    <t>104719 - Vložený s pružinou a tlmením - strieborná</t>
  </si>
  <si>
    <t>344693 - Vložený s pružinou a tlmením - čierna</t>
  </si>
  <si>
    <t>232348 - Vložený s pružinou bez tlmenia - strieborná</t>
  </si>
  <si>
    <t>245725 - Vložený tip-on bez pružiny / tlmenia - strieborná</t>
  </si>
  <si>
    <t>344696 - Vložený tip-on bez pružiny / tlmenia - čierna</t>
  </si>
  <si>
    <t>92580T - Naložený s pružinou a tlmením - strieborná</t>
  </si>
  <si>
    <t>198818 - Naložený s pružinou bez tlmenia - strieborná</t>
  </si>
  <si>
    <t>92581T - Polonaložený s pružinou a tlmením - strieborná</t>
  </si>
  <si>
    <t>198819 - Polonaložený s pružinou bez tlmenia - strieborná</t>
  </si>
  <si>
    <t>92582T - Vložený s pružinou a tlmením - strieborná</t>
  </si>
  <si>
    <t>198820 - Vložený s pružinou bez tlmenia - strieborná</t>
  </si>
  <si>
    <t>350827 - Naložený s pružinou a tlmením - strieborná</t>
  </si>
  <si>
    <t>350834 - Naložený s pružinou bez tlmenia - strieborná</t>
  </si>
  <si>
    <t>350837 - Naložený tip-on bez pružiny / tlmenia - strieborná</t>
  </si>
  <si>
    <t>350828 - Polonaložený s pružinou a tlmením - strieborná</t>
  </si>
  <si>
    <t>350835 - Polonaložený s pružinou bez tlmenia - strieborná</t>
  </si>
  <si>
    <t>350838 - Polonaložený tip-on bez pružiny / tlmenia - strieborná</t>
  </si>
  <si>
    <t>350829 - Vložený s pružinou a tlmením - strieborná</t>
  </si>
  <si>
    <t>350836 - Vložený s pružinou bez tlmenia - strieborná</t>
  </si>
  <si>
    <t>350839 - Vložený tip-on bez pružiny / tlmenia - strieborná</t>
  </si>
  <si>
    <t>118033 - Ráütődő rugóval, csillapítással - ezüst</t>
  </si>
  <si>
    <t>12106 - Ráütődő Rugóval, csillapítás nélkül - ezüst</t>
  </si>
  <si>
    <t>306329 - Ráütődő Rugóval, csillapítás nélkül - fekete</t>
  </si>
  <si>
    <t>12109 - Ráütődő tip-on, rugó és csillapítás nélkül - ezüst</t>
  </si>
  <si>
    <t>497120 - Ráütődő tip-on, rugó és csillapítás nélkül - onyx</t>
  </si>
  <si>
    <t>118120 - Félig ráütődő rugóval, csillapítással - ezüst</t>
  </si>
  <si>
    <t>12107 - Félig ráütődő Rugóval, csillapítás nélkül - ezüst</t>
  </si>
  <si>
    <t>118121 - Közézáródó rugóval, csillapítással - ezüst</t>
  </si>
  <si>
    <t>12108 - Közézáródó Rugóval, csillapítás nélkül - ezüst</t>
  </si>
  <si>
    <t>300279 - Ráütődő rugóval, csillapítással - ezüst</t>
  </si>
  <si>
    <t>344697 - Ráütődő rugóval, csillapítással - fekete</t>
  </si>
  <si>
    <t>300282 - Ráütődő Rugóval, csillapítás nélkül - ezüst</t>
  </si>
  <si>
    <t>300285 - Ráütődő tip-on, rugó és csillapítás nélkül - ezüst</t>
  </si>
  <si>
    <t>300280 - Félig ráütődő rugóval, csillapítással - ezüst</t>
  </si>
  <si>
    <t>300283 - Félig ráütődő Rugóval, csillapítás nélkül - ezüst</t>
  </si>
  <si>
    <t>300286 - Félig ráütődő tip-on, rugó és csillapítás nélkül - ezüst</t>
  </si>
  <si>
    <t>300281 - Közézáródó rugóval, csillapítással - ezüst</t>
  </si>
  <si>
    <t>300284 - Közézáródó Rugóval, csillapítás nélkül - ezüst</t>
  </si>
  <si>
    <t>300287 - Közézáródó tip-on, rugó és csillapítás nélkül - ezüst</t>
  </si>
  <si>
    <t>92584T - Ráütődő rugóval, csillapítással - ezüst</t>
  </si>
  <si>
    <t>350863 - Ráütődő rugóval, csillapítással - ezüst</t>
  </si>
  <si>
    <t>350864 - Ráütődő tip-on, rugó és csillapítás nélkül - ezüst</t>
  </si>
  <si>
    <t>12047 - Ráütődő rugóval, csillapítással - ezüst</t>
  </si>
  <si>
    <t>306317 - Ráütődő rugóval, csillapítással - fekete</t>
  </si>
  <si>
    <t>12052 - Ráütődő Rugóval, csillapítás nélkül - ezüst</t>
  </si>
  <si>
    <t>226668 - Ráütődő tip-on, rugó és csillapítás nélkül - ezüst</t>
  </si>
  <si>
    <t>318173 - Ráütődő tip-on, rugó és csillapítás nélkül - onyx</t>
  </si>
  <si>
    <t>12048 - Félig ráütődő rugóval, csillapítással - ezüst</t>
  </si>
  <si>
    <t>306318 - Félig ráütődő rugóval, csillapítással - fekete</t>
  </si>
  <si>
    <t>12053 - Félig ráütődő Rugóval, csillapítás nélkül - ezüst</t>
  </si>
  <si>
    <t>226670 - Félig ráütődő tip-on, rugó és csillapítás nélkül - ezüst</t>
  </si>
  <si>
    <t>12049 - Közézáródó rugóval, csillapítással - ezüst</t>
  </si>
  <si>
    <t>306319 - Közézáródó rugóval, csillapítással - fekete</t>
  </si>
  <si>
    <t>12059 - Közézáródó Rugóval, csillapítás nélkül - ezüst</t>
  </si>
  <si>
    <t>226671 - Közézáródó tip-on, rugó és csillapítás nélkül - ezüst</t>
  </si>
  <si>
    <t>104717 - Ráütődő rugóval, csillapítással - ezüst</t>
  </si>
  <si>
    <t>344691 - Ráütődő rugóval, csillapítással - fekete</t>
  </si>
  <si>
    <t>232346 - Ráütődő Rugóval, csillapítás nélkül - ezüst</t>
  </si>
  <si>
    <t>245723 - Ráütődő tip-on, rugó és csillapítás nélkül - ezüst</t>
  </si>
  <si>
    <t>344694 - Ráütődő tip-on, rugó és csillapítás nélkül - fekete</t>
  </si>
  <si>
    <t>104718 - Félig ráütődő rugóval, csillapítással - ezüst</t>
  </si>
  <si>
    <t>344692 - Félig ráütődő rugóval, csillapítással - fekete</t>
  </si>
  <si>
    <t>232347 - Félig ráütődő Rugóval, csillapítás nélkül - ezüst</t>
  </si>
  <si>
    <t>245724 - Félig ráütődő tip-on, rugó és csillapítás nélkül - ezüst</t>
  </si>
  <si>
    <t>344695 - Félig ráütődő tip-on, rugó és csillapítás nélkül - fekete</t>
  </si>
  <si>
    <t>104719 - Közézáródó rugóval, csillapítással - ezüst</t>
  </si>
  <si>
    <t>344693 - Közézáródó rugóval, csillapítással - fekete</t>
  </si>
  <si>
    <t>232348 - Közézáródó Rugóval, csillapítás nélkül - ezüst</t>
  </si>
  <si>
    <t>245725 - Közézáródó tip-on, rugó és csillapítás nélkül - ezüst</t>
  </si>
  <si>
    <t>344696 - Közézáródó tip-on, rugó és csillapítás nélkül - fekete</t>
  </si>
  <si>
    <t>92580T - Ráütődő rugóval, csillapítással - ezüst</t>
  </si>
  <si>
    <t>198818 - Ráütődő Rugóval, csillapítás nélkül - ezüst</t>
  </si>
  <si>
    <t>92581T - Félig ráütődő rugóval, csillapítással - ezüst</t>
  </si>
  <si>
    <t>198819 - Félig ráütődő Rugóval, csillapítás nélkül - ezüst</t>
  </si>
  <si>
    <t>92582T - Közézáródó rugóval, csillapítással - ezüst</t>
  </si>
  <si>
    <t>198820 - Közézáródó Rugóval, csillapítás nélkül - ezüst</t>
  </si>
  <si>
    <t>350827 - Ráütődő rugóval, csillapítással - ezüst</t>
  </si>
  <si>
    <t>350834 - Ráütődő Rugóval, csillapítás nélkül - ezüst</t>
  </si>
  <si>
    <t>350837 - Ráütődő tip-on, rugó és csillapítás nélkül - ezüst</t>
  </si>
  <si>
    <t>350828 - Félig ráütődő rugóval, csillapítással - ezüst</t>
  </si>
  <si>
    <t>350835 - Félig ráütődő Rugóval, csillapítás nélkül - ezüst</t>
  </si>
  <si>
    <t>350838 - Félig ráütődő tip-on, rugó és csillapítás nélkül - ezüst</t>
  </si>
  <si>
    <t>350829 - Közézáródó rugóval, csillapítással - ezüst</t>
  </si>
  <si>
    <t>350836 - Közézáródó Rugóval, csillapítás nélkül - ezüst</t>
  </si>
  <si>
    <t>350839 - Közézáródó tip-on, rugó és csillapítás nélkül - ezüst</t>
  </si>
  <si>
    <t>118033 - Overlay with spring and damping - silver</t>
  </si>
  <si>
    <t>12106 - Overlay without damping - silver</t>
  </si>
  <si>
    <t>306329 - Overlay without damping - black</t>
  </si>
  <si>
    <t>12109 - Overlay tip-on without spring / damping - silver</t>
  </si>
  <si>
    <t>497120 - Overlay tip-on without spring / damping - onyx</t>
  </si>
  <si>
    <t>118120 - Half-overlay with spring and damping - silver</t>
  </si>
  <si>
    <t>12107 - Half-overlay without damping - silver</t>
  </si>
  <si>
    <t>118121 - Inset with spring and damping - silver</t>
  </si>
  <si>
    <t>12108 - Inset without damping - silver</t>
  </si>
  <si>
    <t>300279 - Overlay with spring and damping - silver</t>
  </si>
  <si>
    <t>344697 - Overlay with spring and damping - black</t>
  </si>
  <si>
    <t>300282 - Overlay without damping - silver</t>
  </si>
  <si>
    <t>300285 - Overlay tip-on without spring / damping - silver</t>
  </si>
  <si>
    <t>300280 - Half-overlay with spring and damping - silver</t>
  </si>
  <si>
    <t>300283 - Half-overlay without damping - silver</t>
  </si>
  <si>
    <t>300286 - Half-overlay tip-on without spring / damping - silver</t>
  </si>
  <si>
    <t>300281 - Inset with spring and damping - silver</t>
  </si>
  <si>
    <t>300284 - Inset without damping - silver</t>
  </si>
  <si>
    <t>300287 - Inset tip-on without spring / damping - silver</t>
  </si>
  <si>
    <t>92584T - Overlay with spring and damping - silver</t>
  </si>
  <si>
    <t>350863 - Overlay with spring and damping - silver</t>
  </si>
  <si>
    <t>350864 - Overlay tip-on without spring / damping - silver</t>
  </si>
  <si>
    <t>12047 - Overlay with spring and damping - silver</t>
  </si>
  <si>
    <t>306317 - Overlay with spring and damping - black</t>
  </si>
  <si>
    <t>12052 - Overlay without damping - silver</t>
  </si>
  <si>
    <t>226668 - Overlay tip-on without spring / damping - silver</t>
  </si>
  <si>
    <t>318173 - Overlay tip-on without spring / damping - onyx</t>
  </si>
  <si>
    <t>12048 - Half-overlay with spring and damping - silver</t>
  </si>
  <si>
    <t>306318 - Half-overlay with spring and damping - black</t>
  </si>
  <si>
    <t>12053 - Half-overlay without damping - silver</t>
  </si>
  <si>
    <t>226670 - Half-overlay tip-on without spring / damping - silver</t>
  </si>
  <si>
    <t>12049 - Inset with spring and damping - silver</t>
  </si>
  <si>
    <t>306319 - Inset with spring and damping - black</t>
  </si>
  <si>
    <t>12059 - Inset without damping - silver</t>
  </si>
  <si>
    <t>226671 - Inset tip-on without spring / damping - silver</t>
  </si>
  <si>
    <t>104717 - Overlay with spring and damping - silver</t>
  </si>
  <si>
    <t>344691 - Overlay with spring and damping - black</t>
  </si>
  <si>
    <t>232346 - Overlay without damping - silver</t>
  </si>
  <si>
    <t>245723 - Overlay tip-on without spring / damping - silver</t>
  </si>
  <si>
    <t>344694 - Overlay tip-on without spring / damping - black</t>
  </si>
  <si>
    <t>104718 - Half-overlay with spring and damping - silver</t>
  </si>
  <si>
    <t>344692 - Half-overlay with spring and damping - black</t>
  </si>
  <si>
    <t>232347 - Half-overlay without damping - silver</t>
  </si>
  <si>
    <t>245724 - Half-overlay tip-on without spring / damping - silver</t>
  </si>
  <si>
    <t>344695 - Half-overlay tip-on without spring / damping - black</t>
  </si>
  <si>
    <t>104719 - Inset with spring and damping - silver</t>
  </si>
  <si>
    <t>344693 - Inset with spring and damping - black</t>
  </si>
  <si>
    <t>232348 - Inset without damping - silver</t>
  </si>
  <si>
    <t>245725 - Inset tip-on without spring / damping - silver</t>
  </si>
  <si>
    <t>344696 - Inset tip-on without spring / damping - black</t>
  </si>
  <si>
    <t>92580T - Overlay with spring and damping - silver</t>
  </si>
  <si>
    <t>198818 - Overlay without damping - silver</t>
  </si>
  <si>
    <t>92581T - Half-overlay with spring and damping - silver</t>
  </si>
  <si>
    <t>198819 - Half-overlay without damping - silver</t>
  </si>
  <si>
    <t>92582T - Inset with spring and damping - silver</t>
  </si>
  <si>
    <t>198820 - Inset without damping - silver</t>
  </si>
  <si>
    <t>350827 - Overlay with spring and damping - silver</t>
  </si>
  <si>
    <t>350834 - Overlay without damping - silver</t>
  </si>
  <si>
    <t>350837 - Overlay tip-on without spring / damping - silver</t>
  </si>
  <si>
    <t>350828 - Half-overlay with spring and damping - silver</t>
  </si>
  <si>
    <t>350835 - Half-overlay without damping - silver</t>
  </si>
  <si>
    <t>350838 - Half-overlay tip-on without spring / damping - silver</t>
  </si>
  <si>
    <t>350829 - Inset with spring and damping - silver</t>
  </si>
  <si>
    <t>350836 - Inset without damping - silver</t>
  </si>
  <si>
    <t>350839 - Inset tip-on without spring / damping - silver</t>
  </si>
  <si>
    <t>hettich gorny 300279</t>
  </si>
  <si>
    <t>hettich gorny 104717</t>
  </si>
  <si>
    <t>blum gorny 12047</t>
  </si>
  <si>
    <t>strong gorny 350863</t>
  </si>
  <si>
    <t>strong gorny 92584T</t>
  </si>
  <si>
    <t>strong gorny 350827</t>
  </si>
  <si>
    <t>blum tlmený 118033</t>
  </si>
  <si>
    <t>blum tlmený 12047</t>
  </si>
  <si>
    <t>hettich tlmený 300279</t>
  </si>
  <si>
    <t>hettich tlmený 104717</t>
  </si>
  <si>
    <t>strong tlmený 350863</t>
  </si>
  <si>
    <t>strong tlmený 92584T</t>
  </si>
  <si>
    <t>strong tlmený 350827</t>
  </si>
  <si>
    <t>blum közézáródó csillapítós 118033</t>
  </si>
  <si>
    <t>blum soft-closing 118033</t>
  </si>
  <si>
    <t>blum soft-closing 12047</t>
  </si>
  <si>
    <t>hettich bottom 300282</t>
  </si>
  <si>
    <t>hettich bottom 232346</t>
  </si>
  <si>
    <t>hettich soft-closing 300279</t>
  </si>
  <si>
    <t>hettich soft-closing 104717</t>
  </si>
  <si>
    <t>hettich upper 300279</t>
  </si>
  <si>
    <t>hettich upper 104717</t>
  </si>
  <si>
    <t>blum bottom 12106</t>
  </si>
  <si>
    <t>blum bottom 12052</t>
  </si>
  <si>
    <t>strong bottom 350863</t>
  </si>
  <si>
    <t>blum upper 12047</t>
  </si>
  <si>
    <t>strong bottom 350834</t>
  </si>
  <si>
    <t>strong soft-closing 350863</t>
  </si>
  <si>
    <t>strong upper 350863</t>
  </si>
  <si>
    <t>strong soft-closing 92584T</t>
  </si>
  <si>
    <t>strong soft-closing 350827</t>
  </si>
  <si>
    <t>strong upper 92584T</t>
  </si>
  <si>
    <t>strong upper 350827</t>
  </si>
  <si>
    <t>horní</t>
  </si>
  <si>
    <t>horný</t>
  </si>
  <si>
    <t>dolný</t>
  </si>
  <si>
    <t>horní dvířko</t>
  </si>
  <si>
    <t>spodní dvířko</t>
  </si>
  <si>
    <t>StrongLifts podnośnik gorny</t>
  </si>
  <si>
    <t>StrongLifts podnośnik dolny</t>
  </si>
  <si>
    <t>síťka alu zlatá - rozměr oka 10x6x1 mm</t>
  </si>
  <si>
    <t>sieťka ocel čierna mat - rozmer oka 8x4x1 mm</t>
  </si>
  <si>
    <t>sieťka alu zlatá - rozmer oka 10x6x1 mm</t>
  </si>
  <si>
    <t>siatka alu złota - oko 10x6x1 mm</t>
  </si>
  <si>
    <t>Háló acél arany -szem 10x6x1 mm</t>
  </si>
  <si>
    <t>síťka ocel bílá - rozměr oka 8x4x1 mm</t>
  </si>
  <si>
    <t>síťka elox - rozměr oka 10x6x1 mm</t>
  </si>
  <si>
    <t>sieťka elox - rozmer oka 10x6x1 mm</t>
  </si>
  <si>
    <t>sieťka ocel biela - rozmer oka 8x4x1 mm</t>
  </si>
  <si>
    <t>siatka stalowa biała - oko 8x4x1 mm</t>
  </si>
  <si>
    <t>siatka elox - oko 10x6x1 mm</t>
  </si>
  <si>
    <t>Háló eloxált  - szem 10x6x1 mm</t>
  </si>
  <si>
    <t>Háló acél fekete matt  - szem 8x4x1 mm</t>
  </si>
  <si>
    <t>Háló acél fehér - szem 8x4x1 mm</t>
  </si>
  <si>
    <t>mesh steel black matt - field 8x4x1 mm</t>
  </si>
  <si>
    <t>mesh steel white - field 8x4x1 mm</t>
  </si>
  <si>
    <t>mesh anodized - field 10x6x1 mm</t>
  </si>
  <si>
    <t>mesh aluminum gold - field 10x6x1 mm</t>
  </si>
  <si>
    <t>průhlednost 50%</t>
  </si>
  <si>
    <t>průhlednost 67 %</t>
  </si>
  <si>
    <t>priehľadnosť 50%</t>
  </si>
  <si>
    <t>priehľadnosť 67%</t>
  </si>
  <si>
    <t>przezroczystość 50%</t>
  </si>
  <si>
    <t>przezroczystość 67%</t>
  </si>
  <si>
    <t>átláthatóság 50%</t>
  </si>
  <si>
    <t>átláthatóság 67%</t>
  </si>
  <si>
    <t>transparency 50%</t>
  </si>
  <si>
    <t>transparency 67%</t>
  </si>
  <si>
    <t>BRW (elox.) - maximum profile length 2500 mm</t>
  </si>
  <si>
    <t>Modena (elox.) - maximum profile length 2500 mm</t>
  </si>
  <si>
    <t>Palio (elox.) - maximum profile length 2500 mm</t>
  </si>
  <si>
    <t>Pisa (elox.) - maximum profile length 2500 mm</t>
  </si>
  <si>
    <t>Siena (elox.) - maximum profile length 2500 mm</t>
  </si>
  <si>
    <t>Verona (elox.) - maximum profile length 2500 mm</t>
  </si>
  <si>
    <t>Verona champagne - maximum profile length 2500 mm</t>
  </si>
  <si>
    <t>BRW champagne - maximum profile length 2500 mm</t>
  </si>
  <si>
    <t>ROMA black matt  - maximum profile length 2696 mm</t>
  </si>
  <si>
    <t>ROMA champagne matt  - maximum profile length 2696 mm</t>
  </si>
  <si>
    <t>ROMA GRIP black matt  - maximum profile length 2696 mm</t>
  </si>
  <si>
    <t>ROMA GRIP champagne matt  - maximum profile length 2696 mm</t>
  </si>
  <si>
    <t>Siena elox (lewa i prawa) + Varna elox (góra i dół)</t>
  </si>
  <si>
    <t>Siena czarny (lewa i prawa) + Varna czarny (góra i dół)</t>
  </si>
  <si>
    <t>Palio elox (lewy i prawy) + Varna elox (góra i dół)</t>
  </si>
  <si>
    <t>Rocca černá délka max. 2150 mm
Varna černá délka max. 1200 mm</t>
  </si>
  <si>
    <t>Rocca čierna dĺžka max. 2150 mm
Varny čierna dĺžka max. 1200 mm</t>
  </si>
  <si>
    <t>Rocca czarny - długość max. 2150 mm
Varna czarna - długość max. 1200 mm</t>
  </si>
  <si>
    <t>Rocca fekete - a gyártó max. 2150 mm
Varna fekete - a gyártó max. 1200 mm</t>
  </si>
  <si>
    <t>Rocca black length max. 2150 mm 
Varna black length max. 1200 mm</t>
  </si>
  <si>
    <t>Pohled na předěly je jen ilustrativní a nezobrazuje zvolený počet ks předělů horizontálně / vertikálně.</t>
  </si>
  <si>
    <t>Widok szpros ma charakter poglądowy i nie pokazuje wybranej liczby szpros.</t>
  </si>
  <si>
    <t>Pohľad na predely je len ilustratívny a nezobrazuje zvolený počet ks predelov horizontálne / vertikálne.</t>
  </si>
  <si>
    <t>A partíciók nézete csak illusztráció, és nem mutatja a kiválasztott partíciók számát vízszintesen / függőlegesen.</t>
  </si>
  <si>
    <t>_Úzký_dolny_K12</t>
  </si>
  <si>
    <t>_široký_dolny_K12</t>
  </si>
  <si>
    <t>_Úzký_dolny_Kraby</t>
  </si>
  <si>
    <t>_široký_dolny_Kraby</t>
  </si>
  <si>
    <t>_Úzký_Stronglift_gorny</t>
  </si>
  <si>
    <t>_široký_Stronglift_gorny</t>
  </si>
  <si>
    <t>_Úzký_Stronglift_dolny</t>
  </si>
  <si>
    <t>_široký_Stronglift_dolny</t>
  </si>
  <si>
    <t>hettich z tłumieniem 300279</t>
  </si>
  <si>
    <t>hettich z tłumieniem 104717</t>
  </si>
  <si>
    <t>strong z tłumieniem 350863</t>
  </si>
  <si>
    <t>strong z tłumieniem 92584T</t>
  </si>
  <si>
    <t>strong z tłumieniem 350827</t>
  </si>
  <si>
    <t>_Úzký_alsó_K12</t>
  </si>
  <si>
    <t>_široký_alsó_K12</t>
  </si>
  <si>
    <t>_Úzký_alsó_Kraby</t>
  </si>
  <si>
    <t>_široký_alsó_Kraby</t>
  </si>
  <si>
    <t>hettich alsó 300282</t>
  </si>
  <si>
    <t>_Úzký_Stronglift_felső</t>
  </si>
  <si>
    <t>_široký_Stronglift_felső</t>
  </si>
  <si>
    <t>_Úzký_Stronglift_alsó</t>
  </si>
  <si>
    <t>_široký_Stronglift_alsó</t>
  </si>
  <si>
    <t>blum alsó 12106</t>
  </si>
  <si>
    <t>hettich alsó 232346</t>
  </si>
  <si>
    <t>blum alsó 12052</t>
  </si>
  <si>
    <t>strong alsó 350834</t>
  </si>
  <si>
    <t>Vivaro white gloss RAL 9003 - maximum profile length 2500 mm</t>
  </si>
  <si>
    <t>Maximální doporučený rozměr rámečku je 2500 x 1250 mm (v případě rámečků s nalepeným sklem, např. Corleone 1500 x 600 mm)</t>
  </si>
  <si>
    <t>Maximálny doporučený rozmer rámčeka je 2500 x 1250 mm (v prípade rámčekov s nalepeným sklom, napr. Corleone 1500 x 600 mm)</t>
  </si>
  <si>
    <t>Maksymalny zalecany rozmiar ramki to 2500 x 1250 mm (w wypadku ramek ze szkłem wklejanym, np. Corleone 1500 x 600 mm)</t>
  </si>
  <si>
    <r>
      <t>A keretek maximális mérete 2500 x 1250 mm</t>
    </r>
    <r>
      <rPr>
        <b/>
        <sz val="11"/>
        <color indexed="10"/>
        <rFont val="Calibri"/>
        <family val="2"/>
        <charset val="238"/>
      </rPr>
      <t xml:space="preserve"> ( kereteknél ragasztott üveggel, Corleone 1500 x 600 mm)</t>
    </r>
  </si>
  <si>
    <t>The maximum recommended frame size is 2500 x 1250 mm (1500 x 600 mm in the case of glued glass frames, e.g. Corleone)</t>
  </si>
  <si>
    <t>BRW anthracite RAL 7021 - maximum profile length 2500 mm</t>
  </si>
  <si>
    <t>BRW white matt RAL 9003 - maximum profile length 2500 mm</t>
  </si>
  <si>
    <t>BRW brushed - maximum profile length 2500 mm</t>
  </si>
  <si>
    <t>BRW black matt - maximum profile length 2500 mm</t>
  </si>
  <si>
    <t>BRW black brushed - maximum profile length 2500 mm</t>
  </si>
  <si>
    <t>Imola black matt - maximum profile length 2500 mm</t>
  </si>
  <si>
    <t>Imola white matt RAL 9003 - maximum profile length 2500 mm</t>
  </si>
  <si>
    <t>Modena black matt - maximum profile length 2500 mm</t>
  </si>
  <si>
    <t>black black brushed - maximum profile length 2500 mm</t>
  </si>
  <si>
    <t>Palio black matt - maximum profile length 2500 mm</t>
  </si>
  <si>
    <t>Siena black matt - maximum profile length 2500 mm</t>
  </si>
  <si>
    <t>Verona brushed aluminium - maximum profile length 2500 mm</t>
  </si>
  <si>
    <t>Verona black gloss - maximum profile length 2500 mm</t>
  </si>
  <si>
    <t>Verona black matt - maximum profile length 2500 mm</t>
  </si>
  <si>
    <t>Verona brown - maximum profile length 2500 mm</t>
  </si>
  <si>
    <t>Vivaro black matt - maximum profile length 2500 mm</t>
  </si>
  <si>
    <t>Vivaro white matt RAL 9003 - maximum profile length 2500 mm</t>
  </si>
  <si>
    <t>Pisa white matt RAL 9003 - maximum profile length 2500 mm</t>
  </si>
  <si>
    <t>Pisa white gloss RAL 9003 - maximum profile length 2500 mm</t>
  </si>
  <si>
    <t>BRW arany csiszolt - maximum profile length 2500 mm</t>
  </si>
  <si>
    <t>BRW champagne light - maximum profile length 2500 mm</t>
  </si>
  <si>
    <t>Kalené (termín dodání 4 týdny)</t>
  </si>
  <si>
    <t>Kalené (termín dodania 4 týždne)</t>
  </si>
  <si>
    <t>Hartowane (termin dostawy 4 tygodnie)</t>
  </si>
  <si>
    <t>Edzett (Szállítási határidő 4 hét)</t>
  </si>
  <si>
    <t>Harded (delivery is 4 weeks)</t>
  </si>
  <si>
    <t>Horizontálně (termín dodání 4 týdny)</t>
  </si>
  <si>
    <t>horizontálne (termín dodania 4 týždne)</t>
  </si>
  <si>
    <t>Poziomo (termin dostawy 4 tygodnie)</t>
  </si>
  <si>
    <t>Vízszintesen (Szállítási határidő 4 hét)</t>
  </si>
  <si>
    <t>Horizontal (delivery is 4 weeks)</t>
  </si>
  <si>
    <t>Vertikálně (termín dodání 4 týdny)</t>
  </si>
  <si>
    <t>Vertikálne (termín dodania 4 týždne)</t>
  </si>
  <si>
    <t>Pionowo (termin dostawy 4 tygodnie)</t>
  </si>
  <si>
    <t>Függőlegesen (Szállítási határidő 4 hét)</t>
  </si>
  <si>
    <t>Vertical (delivery is 4 weeks)</t>
  </si>
  <si>
    <t>Horizontálně i vertikálně (termín dodání 4 týdny)</t>
  </si>
  <si>
    <t>Horizontálne aj vertikálne (termín dodania 4 týždne)</t>
  </si>
  <si>
    <t>Poziomo i pionowo (termin dostawy 4 tygodnie)</t>
  </si>
  <si>
    <t>Vízszintesen és függőlegesen (Szállítási határidő 4 hét)</t>
  </si>
  <si>
    <t>Horizontal and vertical (delivery is 4 weeks)</t>
  </si>
  <si>
    <t>objednavkySK@demos-trade.com</t>
  </si>
  <si>
    <t>Dolní vedení délka 2 m (87315)</t>
  </si>
  <si>
    <t>Dolní vedení délka 3 m (87314)</t>
  </si>
  <si>
    <t>Czyste hartowane</t>
  </si>
  <si>
    <t xml:space="preserve">Satinato </t>
  </si>
  <si>
    <t xml:space="preserve">MASTER SOFT </t>
  </si>
  <si>
    <t xml:space="preserve">Satinato brązowe </t>
  </si>
  <si>
    <t xml:space="preserve">Satinato grafit </t>
  </si>
  <si>
    <t xml:space="preserve">Venus VG10 </t>
  </si>
  <si>
    <t xml:space="preserve">Stopsol brąz </t>
  </si>
  <si>
    <t xml:space="preserve">Lakomat </t>
  </si>
  <si>
    <t xml:space="preserve">MASTER FLEX </t>
  </si>
  <si>
    <t xml:space="preserve">Antisol brąz </t>
  </si>
  <si>
    <t xml:space="preserve">Antisol grafit </t>
  </si>
  <si>
    <t xml:space="preserve">Lustro </t>
  </si>
  <si>
    <t xml:space="preserve">Lustro brązowe </t>
  </si>
  <si>
    <t xml:space="preserve">Lustro grafit </t>
  </si>
  <si>
    <t xml:space="preserve">VISIOSUN poziomo </t>
  </si>
  <si>
    <t xml:space="preserve">Krizet </t>
  </si>
  <si>
    <t xml:space="preserve">Master (Carre) </t>
  </si>
  <si>
    <t xml:space="preserve">Master  Point </t>
  </si>
  <si>
    <t xml:space="preserve">FLUTES poziomo </t>
  </si>
  <si>
    <t xml:space="preserve">Master  Shine </t>
  </si>
  <si>
    <t xml:space="preserve">Master  Ligne pionowo </t>
  </si>
  <si>
    <t xml:space="preserve">Lacobel RAL 1013 </t>
  </si>
  <si>
    <t xml:space="preserve">Lacobel RAL 1015 </t>
  </si>
  <si>
    <t xml:space="preserve">FLUTES pionowo </t>
  </si>
  <si>
    <t xml:space="preserve">VISIOSUN pionowo </t>
  </si>
  <si>
    <t xml:space="preserve">Lacobel RAL 7035 </t>
  </si>
  <si>
    <t xml:space="preserve">Lacobel RAL 9003 </t>
  </si>
  <si>
    <t xml:space="preserve">Lacobel RAL 9005 </t>
  </si>
  <si>
    <t xml:space="preserve">Lacobel RAL 9006 </t>
  </si>
  <si>
    <t xml:space="preserve">Lacobel RAL 9007 </t>
  </si>
  <si>
    <t xml:space="preserve">Lacobel RAL 9010 </t>
  </si>
  <si>
    <t xml:space="preserve">Moru brąz pionowo </t>
  </si>
  <si>
    <t xml:space="preserve">Moru grafit pionowo </t>
  </si>
  <si>
    <t xml:space="preserve">Moru brąz poziomo </t>
  </si>
  <si>
    <t xml:space="preserve">Moru grafit poziomo </t>
  </si>
  <si>
    <t xml:space="preserve">Matelac RAL 9003 </t>
  </si>
  <si>
    <t xml:space="preserve">Matelac RAL 9005 </t>
  </si>
  <si>
    <t xml:space="preserve">Matelac lustro bronz </t>
  </si>
  <si>
    <t xml:space="preserve">Optiwhite </t>
  </si>
  <si>
    <t xml:space="preserve">Matelac lustro grafit </t>
  </si>
  <si>
    <t xml:space="preserve">Matelac lustro srebrny </t>
  </si>
  <si>
    <t>Závěs</t>
  </si>
  <si>
    <t>118033 71B950A / 12103+12391 - zawias ze sprężyną z tłumieniem - srebro</t>
  </si>
  <si>
    <t>118033 71B950A/ 12103+12391 - zawias ze sprężyną z tłumieniem - srebro</t>
  </si>
  <si>
    <t>118033 - Nakładany ze sprężyną z tłumieniem - srebro 71B950A</t>
  </si>
  <si>
    <t>118033 71B950A / 12106 71T950A - zawias ze sprężyną bez tłumienia - srebro</t>
  </si>
  <si>
    <t>12106 - Nakładany ze sprężyną bez tłumienia - srebro 71T950A</t>
  </si>
  <si>
    <t>306329 - Nakładany ze sprężyną bez tłumienia - czarny 71T950A</t>
  </si>
  <si>
    <t>12109 - Nakładany tip-on bez sprężyny/tłumienie - srebro 70T950A.TL</t>
  </si>
  <si>
    <t>497120 - Nakładany tip-on bez sprężyny/tłumienie - onyx 70T950A.TL</t>
  </si>
  <si>
    <t>118120 71B960A / 12104+12385 - zawias ze sprężyną z tłumieniem - srebro</t>
  </si>
  <si>
    <t>118120 - Półnakładany ze sprężyną z tłumieniem - srebro 71B960A</t>
  </si>
  <si>
    <t>118120 71B960A / 12107 71T960A - zawias ze sprężyną bez tłumienia - srebro</t>
  </si>
  <si>
    <t>12107 - Półnakładany ze sprężyną bez tłumienia - srebro 71T960A</t>
  </si>
  <si>
    <t>118121 - Wpuszczany ze sprężyną z tłumieniem - srebro 71B970A</t>
  </si>
  <si>
    <t>118121 71B970A / 12108 71T970A - zawias ze sprężyną bez tłumienia - srebro</t>
  </si>
  <si>
    <t>12108 - Wpuszczany ze sprężyną bez tłumienia - srebro 71T970A</t>
  </si>
  <si>
    <t>12047 - Nakładany ze sprężyną z tłumieniem - srebro 71B3550</t>
  </si>
  <si>
    <t>306317 - Nakładany ze sprężyną z tłumieniem - czarny 71B3550</t>
  </si>
  <si>
    <t>12052 - Nakładany ze sprężyną bez tłumienia - srebro 71T3550</t>
  </si>
  <si>
    <t>226668 - Nakładany tip-on bez sprężyny/tłumienie - srebro 70T3550.TL</t>
  </si>
  <si>
    <t>318173 - Nakładany tip-on bez sprężyny/tłumienie - onyx 70T9550.TL</t>
  </si>
  <si>
    <t>12048 - Półnakładany ze sprężyną z tłumieniem - srebro 71B3650</t>
  </si>
  <si>
    <t>306318 - Półnakładany ze sprężyną z tłumieniem - czarny 71B3650</t>
  </si>
  <si>
    <t>12053 - Półnakładany ze sprężyną bez tłumienia - srebro 71T3650</t>
  </si>
  <si>
    <t>226670 - Półnakładany tip-on bez sprężyny/tłumienie - srebro 70T3650.TL</t>
  </si>
  <si>
    <t>12049 - Wpuszczany ze sprężyną z tłumieniem - srebro 71B3750</t>
  </si>
  <si>
    <t>306319 - Wpuszczany ze sprężyną z tłumieniem - czarny 71B3750</t>
  </si>
  <si>
    <t>12059 - Wpuszczany ze sprężyną bez tłumienia - srebro 71T3750</t>
  </si>
  <si>
    <t>226671 - Wpuszczany tip-on bez sprężyny/tłumienie - srebro 70T3750.TL</t>
  </si>
  <si>
    <t>blum tip-on 13764 / 72T550A.TL</t>
  </si>
  <si>
    <t>blum dolny 12052 / 71T3550</t>
  </si>
  <si>
    <t>blum dolny 12106 / 71T950A</t>
  </si>
  <si>
    <t>blum tip-on 12109 / 70T950A.TL</t>
  </si>
  <si>
    <t>blum gorny 12047 / 71B3550</t>
  </si>
  <si>
    <t>Vzdálenost od spodního okraje</t>
  </si>
  <si>
    <t>Vzdálenost od horního okraje</t>
  </si>
  <si>
    <t>275689- spodní 80N šedá</t>
  </si>
  <si>
    <t>248167- spodní 80N bílá</t>
  </si>
  <si>
    <t>STRONG horní šedý</t>
  </si>
  <si>
    <t>cena profily</t>
  </si>
  <si>
    <t>cena sklo</t>
  </si>
  <si>
    <t>Ár</t>
  </si>
  <si>
    <t>Price</t>
  </si>
  <si>
    <t>Zvolený rozměr rámečku neodpovídá maximálním rozměrům skla, nebo profilu</t>
  </si>
  <si>
    <t>Wybrany rozmiar ramki nie odpowiada maksymalnym wymiarom szkła lub profilu</t>
  </si>
  <si>
    <t>Size of the frame does not match with maximal possible size of the glass or of the profile</t>
  </si>
  <si>
    <t>Zvolený rozmer rámčeka nezodpovedá maximálnym rozmerom skla, alebo profilu</t>
  </si>
  <si>
    <t>A kiválasztott keretméret nem felel meg az üveg vagy a profil maximális méreteinek</t>
  </si>
  <si>
    <t>Imola gold - maximum profile length 2150 mm</t>
  </si>
  <si>
    <t>BRW (elox.) - maximální doporučená délka profilu 2500 mm</t>
  </si>
  <si>
    <t>BRW antracit RAL 7021 - maximální doporučená délka profilu 2500 mm</t>
  </si>
  <si>
    <t>BRW bílá mat RAL 9003 - maximální doporučená délka profilu 2500 mm</t>
  </si>
  <si>
    <t>BRW hnědá - maximální doporučená délka profilu 2500 mm</t>
  </si>
  <si>
    <t>BRW broušené - maximální doporučená délka profilu 2500 mm</t>
  </si>
  <si>
    <t>BRW černá mat - maximální doporučená délka profilu 2500 mm</t>
  </si>
  <si>
    <t>BRW černá broušená - maximální doporučená délka profilu 2500 mm</t>
  </si>
  <si>
    <t>Imola černá mat - maximální doporučená délka profilu 2500 mm</t>
  </si>
  <si>
    <t>Imola bílá mat RAL 9003 - maximální doporučená délka profilu 2500 mm</t>
  </si>
  <si>
    <t>Modena (elox.) - maximální doporučená délka profilu 2500 mm</t>
  </si>
  <si>
    <t>Modena černá mat - maximální doporučená délka profilu 2500 mm</t>
  </si>
  <si>
    <t>Modena černá broušená - maximální doporučená délka profilu 2500 mm</t>
  </si>
  <si>
    <t>Modena tmavá nerez br. (inox lija) - maximální doporučená délka profilu 2500 mm</t>
  </si>
  <si>
    <t>Palio (elox.) - maximální doporučená délka profilu 2500 mm</t>
  </si>
  <si>
    <t>Palio černá mat - maximální doporučená délka profilu 2500 mm</t>
  </si>
  <si>
    <t>Pisa (elox.) - maximální doporučená délka profilu 2500 mm</t>
  </si>
  <si>
    <t>Siena (elox.) - maximální doporučená délka profilu 2500 mm</t>
  </si>
  <si>
    <t>Siena černá mat - maximální doporučená délka profilu 2500 mm</t>
  </si>
  <si>
    <t>Verona (elox.) - maximální doporučená délka profilu 2500 mm</t>
  </si>
  <si>
    <t>Verona broušený hliník - maximální doporučená délka profilu 2500 mm</t>
  </si>
  <si>
    <t>Verona černá lesk - maximální doporučená délka profilu 2500 mm</t>
  </si>
  <si>
    <t>Verona černá mat - maximální doporučená délka profilu 2500 mm</t>
  </si>
  <si>
    <t>Verona hnědá - maximální doporučená délka profilu 2500 mm</t>
  </si>
  <si>
    <t>Verona champagne - maximální doporučená délka profilu 2500 mm</t>
  </si>
  <si>
    <t>Rocca černá mat - maximální doporučená délka profilu 2150 mm</t>
  </si>
  <si>
    <t>Vivaro (elox.) - maximální doporučená délka profilu 2500 mm</t>
  </si>
  <si>
    <t>Vivaro černá mat - maximální doporučená délka profilu 2500 mm</t>
  </si>
  <si>
    <t>Imola zlatá - maximální doporučená délka profilu 2150 mm</t>
  </si>
  <si>
    <t>Vivaro tmavá nerez br. (inox lija) - maximální doporučená délka profilu 2500 mm</t>
  </si>
  <si>
    <t>Vivaro bílá mat RAL 9003 - maximální doporučená délka profilu 2500 mm</t>
  </si>
  <si>
    <t>Vivaro bílá lesk RAL 9003 - maximální doporučená délka profilu 2500 mm</t>
  </si>
  <si>
    <t>Varna (elox.) - maximální doporučená délka profilu 2500 mm</t>
  </si>
  <si>
    <t>Pisa bílá mat RAL 9003 - maximální doporučená délka profilu 2500 mm</t>
  </si>
  <si>
    <t>Pisa bílá lesk RAL 9003 - maximální doporučená délka profilu 2500 mm</t>
  </si>
  <si>
    <t>Varna černá - maximální doporučená délka profilu 1200 mm</t>
  </si>
  <si>
    <t>BRW zlatá broušená - maximální doporučená délka profilu 2500 mm</t>
  </si>
  <si>
    <t>Verona zlatá broušená - maximální doporučená délka profilu 2150 mm</t>
  </si>
  <si>
    <t>Vivaro zlatá broušená - maximální doporučená délka profilu 2150 mm</t>
  </si>
  <si>
    <t>Pisa zlatá - maximální doporučená délka profilu 2150 mm</t>
  </si>
  <si>
    <t>BRW champagne - maximální doporučená délka profilu 2500 mm</t>
  </si>
  <si>
    <t>BRW champagne light - maximální doporučená délka profilu 2500 mm</t>
  </si>
  <si>
    <t>ROMA černá mat - maximální doporučená délka profilu 2696 mm</t>
  </si>
  <si>
    <t>ROMA champagne mat - maximální doporučená délka profilu 2696 mm</t>
  </si>
  <si>
    <t>ROMA GRIP černá mat - maximální doporučená délka profilu 2696 mm</t>
  </si>
  <si>
    <t>ROMA GRIP champagne mat - maximální doporučená délka profilu 2696 mm</t>
  </si>
  <si>
    <t>BRW (elox.) - maximálna odporúčaná odporúčaná dĺžka profilu 2500 mm</t>
  </si>
  <si>
    <t>BRW antracit RAL 7021 - maximálna odporúčaná dĺžka profilu 2500 mm</t>
  </si>
  <si>
    <t>BRW biela matt RAL 9003 - maximálna odporúčaná dĺžka profilu 2500 mm</t>
  </si>
  <si>
    <t>BRW hnědá - maximálna odporúčaná dĺžka profilu 2500 mm</t>
  </si>
  <si>
    <t>BRW brúsené - maximálna odporúčaná dĺžka profilu 2500 mm</t>
  </si>
  <si>
    <t>BRW čierna matt - maximálna odporúčaná dĺžka profilu 2500 mm</t>
  </si>
  <si>
    <t>BRW čierna brúsená - maximálna odporúčaná dĺžka profilu 2500 mm</t>
  </si>
  <si>
    <t>Imola čierna mat - maximálna odporúčaná dĺžka profilu 2500 mm</t>
  </si>
  <si>
    <t>Imola biela matt RAL 9003 - maximálna odporúčaná dĺžka profilu 2500 mm</t>
  </si>
  <si>
    <t>Modena (elox.) - maximálna odporúčaná dĺžka profilu 2500 mm</t>
  </si>
  <si>
    <t>Modena čierna matt - maximálna odporúčaná dĺžka profilu 2500 mm</t>
  </si>
  <si>
    <t>Modena čierna brúsená - maximálna odporúčaná dĺžka profilu 2500 mm</t>
  </si>
  <si>
    <t>Palio (elox.) - maximálna odporúčaná dĺžka profilu 2500 mm</t>
  </si>
  <si>
    <t>Palio čierna matt - maximálna odporúčaná dĺžka profilu 2500 mm</t>
  </si>
  <si>
    <t>Pisa (elox.) - maximálna odporúčaná dĺžka profilu 2500 mm</t>
  </si>
  <si>
    <t>Siena (elox.) - maximálna odporúčaná dĺžka profilu 2500 mm</t>
  </si>
  <si>
    <t>Siena čierna mat - maximálna odporúčaná dĺžka profilu 2500 mm</t>
  </si>
  <si>
    <t>Verona (elox.) - maximálna odporúčaná dĺžka profilu 2500 mm</t>
  </si>
  <si>
    <t>Verona brúsená - maximálna odporúčaná dĺžka profilu 2500 mm</t>
  </si>
  <si>
    <t>Verona čierna lesk - maximálna odporúčaná dĺžka profilu 2500 mm</t>
  </si>
  <si>
    <t>Verona čierna mat - maximálna odporúčaná dĺžka profilu 2500 mm</t>
  </si>
  <si>
    <t>Verona hnědá - maximálna odporúčaná dĺžka profilu 2500 mm</t>
  </si>
  <si>
    <t>Verona champagne - maximálna odporúčaná dĺžka profilu 2500 mm</t>
  </si>
  <si>
    <t>Verona svetlá nerez brúsená Acier - maximálna odporúčaná dĺžka profilu 2500 mm</t>
  </si>
  <si>
    <t>Rocca čierna mat - maximálna odporúčaná dĺžka profilu 2150 mm</t>
  </si>
  <si>
    <t>Vivaro (elox.) - maximálna odporúčaná dĺžka profilu 2500 mm</t>
  </si>
  <si>
    <t>Vivaro čierne mat - maximálna odporúčaná dĺžka profilu 2500 mm</t>
  </si>
  <si>
    <t>Imola zlatá - maximálna odporúčaná dĺžka profilu 2150 mm</t>
  </si>
  <si>
    <t>Vivaro tmavá nerez br. (inox lija) - maximálna odporúčaná dĺžka profilu 2500 mm</t>
  </si>
  <si>
    <t>Vivaro biela matt RAL 9003 - maximálna odporúčaná dĺžka profilu 2500 mm</t>
  </si>
  <si>
    <t>Vivaro biela lesk RAL 9003 - maximálna odporúčaná dĺžka profilu 2500 mm</t>
  </si>
  <si>
    <t>Varna - maximálna odporúčaná dĺžka profilu 2500 mm</t>
  </si>
  <si>
    <t>Pisa biela mat RAL 9003 - maximálna odporúčaná dĺžka profilu 2500 mm</t>
  </si>
  <si>
    <t>Pisa biela lesk RAL 9003 - maximálna odporúčaná dĺžka profilu 2500 mm</t>
  </si>
  <si>
    <t>Varna čierna - maximálna odporúčaná dĺžka profilu 1200 mm</t>
  </si>
  <si>
    <t>BRW zlatá brúsená - maximálna odporúčaná dĺžka profilu 2500 mm</t>
  </si>
  <si>
    <t>Verona zlatá brúsená - maximálna odporúčaná dĺžka profilu 2150 mm</t>
  </si>
  <si>
    <t>Vivaro zlatá brúsená - maximálna odporúčaná dĺžka profilu 2150 mm</t>
  </si>
  <si>
    <t>Pisa zlatá - maximálna odporúčaná dĺžka profilu 2150 mm</t>
  </si>
  <si>
    <t>BRW champagne - maximálna odporúčaná dĺžka profilu 2500 mm</t>
  </si>
  <si>
    <t>BRW champagne light - maximálna odporúčaná dĺžka profilu 2500 mm</t>
  </si>
  <si>
    <t>ROMA čierna mat - maximálna odporúčaná dĺžka profilu 2696 mm</t>
  </si>
  <si>
    <t>ROMA champagne mat - maximálna odporúčaná dĺžka profilu 2696 mm</t>
  </si>
  <si>
    <t>ROMA GRIP čierna mat - maximálna odporúčaná dĺžka profilu 2696 mm</t>
  </si>
  <si>
    <t>ROMA GRIP champagne mat - maximálna odporúčaná dĺžka profilu 2696 mm</t>
  </si>
  <si>
    <t>Pisa złota - maksymalna zalecana długość profilu 2150 mm</t>
  </si>
  <si>
    <t>BRW champagne - maksymalna zalecana długość profilu 2500 mm</t>
  </si>
  <si>
    <t>BRW champagne light - maksymalna zalecana długość profilu 2500 mm</t>
  </si>
  <si>
    <t>ROMA czarna matowa -  maksymalna zalecana długość profilu 2696 mm</t>
  </si>
  <si>
    <t>ROMA champagne mat - maksymalna zalecana długość profilu 2696 mm</t>
  </si>
  <si>
    <t>ROMA GRIP czarna matowa - maksymalna zalecana długość profilu 2696 mm</t>
  </si>
  <si>
    <t>ROMA GRIP champagne mat - maksymalna zalecana długość profilu 2696 mm</t>
  </si>
  <si>
    <t>BRW (elox.) - maksymalna zalecana długość profilu 2500 mm</t>
  </si>
  <si>
    <t>BRW antracyt RAL 7021 - maksymalna zalecana długość profilu 2500 mm</t>
  </si>
  <si>
    <t>BRW bialy matowy RAL 9003 - maksymalna zalecana długość profilu 2500 mm</t>
  </si>
  <si>
    <t>BRW brąz - maksymalna zalecana długość profilu 2500 mm</t>
  </si>
  <si>
    <t>BRW szczotkowany - maksymalna zalecana długość profilu 2500 mm</t>
  </si>
  <si>
    <t>BRW Czarny matowy - maksymalna zalecana długość profilu 2500 mm</t>
  </si>
  <si>
    <t>BRW czarna szczotka - maksymalna zalecana długość profilu 2500 mm</t>
  </si>
  <si>
    <t>Imola Czarny matowy - maksymalna zalecana długość profilu 2500 mm</t>
  </si>
  <si>
    <t>Imola bialy matowy RAL 9003 - maksymalna zalecana długość profilu 2500 mm</t>
  </si>
  <si>
    <t>Modena (elox.) - maksymalna zalecana długość profilu 2500 mm</t>
  </si>
  <si>
    <t>Modena Czarny matowy - maksymalna zalecana długość profilu 2500 mm</t>
  </si>
  <si>
    <t>Modena czarna szczotka - maksymalna zalecana długość profilu 2500 mm</t>
  </si>
  <si>
    <t>Palio (elox.) - maksymalna zalecana długość profilu 2500 mm</t>
  </si>
  <si>
    <t>Palio Czarny matowy - maksymalna zalecana długość profilu 2500 mm</t>
  </si>
  <si>
    <t>Pisa (elox.) - maksymalna zalecana długość profilu 2500 mm</t>
  </si>
  <si>
    <t>Siena (elox.) - maksymalna zalecana zalecana długość profilu 2500 mm</t>
  </si>
  <si>
    <t>Siena czarny matowy - maksymalna zalecana zalecana długość profilu 2500 mm</t>
  </si>
  <si>
    <t>Verona (elox.) - maksymalna zalecana zalecana długość profilu 2500 mm</t>
  </si>
  <si>
    <t>Verona szczotkowany - maksymalna zalecana zalecana długość profilu 2500 mm</t>
  </si>
  <si>
    <t>Verona czarny połysk - maksymalna zalecana zalecana długość profilu 2500 mm</t>
  </si>
  <si>
    <t>Verona czarny matowy - maksymalna zalecana zalecana długość profilu 2500 mm</t>
  </si>
  <si>
    <t>Verona braz - maksymalna zalecana zalecana długość profilu 2500 mm</t>
  </si>
  <si>
    <t>Verona szampański - maksymalna zalecana zalecana długość profilu 2500 mm</t>
  </si>
  <si>
    <t>Rocca czarny matowy - maksymalna zalecana zalecana długość profilu 2150 mm</t>
  </si>
  <si>
    <t>Vivaro (elox.) - maksymalna zalecana zalecana długość profilu 2500 mm</t>
  </si>
  <si>
    <t>Vivaro czarny matowy - maksymalna zalecana zalecana długość profilu 2500 mm</t>
  </si>
  <si>
    <t>Imola złota - maksymalna zalecana zalecana długość profilu 2150 mm</t>
  </si>
  <si>
    <t>Vivaro biały matowy RAL 9003 - maksymalna zalecana zalecana długość profilu 2500 mm</t>
  </si>
  <si>
    <t>Vivaro biały połysk RAL 9003 - maksymalna zalecana zalecana długość profilu 2500 mm</t>
  </si>
  <si>
    <t>Pisa biały matowy RAL 9003 - maksymalna zalecana zalecana długość profilu 2500 mm</t>
  </si>
  <si>
    <t>Pisa biały połysk RAL 9003 - maksymalna zalecana zalecana długość profilu 2500 mm</t>
  </si>
  <si>
    <t>BRW złota szczotkowany - maksymalna zalecana zalecana długość profilu 2500 mm</t>
  </si>
  <si>
    <t>Verona złota szczotkowany - maksymalna zalecana zalecana długość profilu 2150 mm</t>
  </si>
  <si>
    <t>Vivaro złota szczotkowany - maksymalna zalecana zalecana długość profilu 2150 mm</t>
  </si>
  <si>
    <t>BRW bílá lesk RAL 9003 - maximální doporučená délka profilu 2500 mm</t>
  </si>
  <si>
    <t>BRW biela lesk RAL 9003 - maximálna odporúčaná dĺžka profilu 2500 mm</t>
  </si>
  <si>
    <t>BRW bialy połysk RAL 9003 - maksymalna zalecana długość profilu 2500 mm</t>
  </si>
  <si>
    <t>BRW white gloss RAL 9003 - maximum profile length 2500 mm</t>
  </si>
  <si>
    <t>Corleone (elox.) - maximální doporučená délka profilu 1500 mm</t>
  </si>
  <si>
    <t>Corleone (elox.) - maximálna odporúčaná dĺžka profilu 1500 mm</t>
  </si>
  <si>
    <t>Corleone (elox.)- maksymalna zalecana długość profilu 1500 mm</t>
  </si>
  <si>
    <t>Corleone (elox.) - maximum profile length 1500 mm</t>
  </si>
  <si>
    <t>Corleone černá mat - maximální doporučená délka profilu 1500 mm</t>
  </si>
  <si>
    <t>Corleone čierne mat - maximálna odporúčaná dĺžka profilu 1500 mm</t>
  </si>
  <si>
    <t>Corleone czarny matowy - maksymalna zalecana długość profilu 1500 mm</t>
  </si>
  <si>
    <t>Corleone black matt - maximum profile length 1500 mm</t>
  </si>
  <si>
    <t>Imola (elox.) - maximální doporučená délka profilu 2500 mm</t>
  </si>
  <si>
    <t>Imola (elox.) - maximálna odporúčaná dĺžka profilu 2500 mm</t>
  </si>
  <si>
    <t>Imola (elox.) - maksymalna zalecana długość profilu 2500 mm</t>
  </si>
  <si>
    <t>Imola (elox.) - maximum profile length 2500 mm</t>
  </si>
  <si>
    <t>Verona zlatá - maximální doporučená délka profilu 2150 mm</t>
  </si>
  <si>
    <t>Verona zlatá - maximálna odporúčaná dĺžka profilu 2150 mm</t>
  </si>
  <si>
    <t>Verona złota - maksymalna zalecana długość profilu 2150 mm</t>
  </si>
  <si>
    <t>Verona gold - maximum profile length 2150 mm</t>
  </si>
  <si>
    <t>Pisa černá mat - maximální doporučená délka profilu 2500 mm</t>
  </si>
  <si>
    <t>Pisa čierna matt - maximálna odporúčaná dĺžka profilu 2500 mm</t>
  </si>
  <si>
    <t>Pisa Czarny matowy - maksymalna zalecana długość profilu 2500 mm</t>
  </si>
  <si>
    <t>Pisa black matt - maximum profile length 2500 mm</t>
  </si>
  <si>
    <t>Vivaro zlatá - maximální doporučená délka profilu 2150 mm</t>
  </si>
  <si>
    <t>Vivaro zlatá - maximálna odporúčaná dĺžka profilu 2150 mm</t>
  </si>
  <si>
    <t>Vivaro złota - maksymalna zalecana zalecana długość profilu 2150 mm</t>
  </si>
  <si>
    <t>Vivaro gold - maximum profile length 2150 mm</t>
  </si>
  <si>
    <t>Vivaro (elox.) - maximum profile length 2500 mm</t>
  </si>
  <si>
    <t>Rocca (elox.) - maximální doporučená délka profilu 2150 mm</t>
  </si>
  <si>
    <t>Rocca (elox.) - maximálna odporúčaná dĺžka profilu 2150 mm</t>
  </si>
  <si>
    <t>Rocca (elox.) - maksymalna zalecana zalecana długość profilu 2150 mm</t>
  </si>
  <si>
    <t>Rocca (elox.) - maximum profile length 2150 mm</t>
  </si>
  <si>
    <t>ASTI černá mat - maximální doporučená délka profilu 2150 mm</t>
  </si>
  <si>
    <t>ASTI čierna mat - maximálna odporúčaná dĺžka profilu 2150</t>
  </si>
  <si>
    <t>ASTI  czarne  - maksymalna zalecana długość profilu 2150</t>
  </si>
  <si>
    <t>ASTI black matt - maximum profile length 2150 mm</t>
  </si>
  <si>
    <t>ASTI antracit RAL 7021 mat - maximální doporučená délka profilu 2500 mm</t>
  </si>
  <si>
    <t>ASTI antracit RAL 7021 mat - maximálna odporúčaná dĺžka profilu 2500 mm</t>
  </si>
  <si>
    <t>ASTI  antracyt mat RAL 7021 mat lakier - maksymalna zalecana długość profilu 2500 mm</t>
  </si>
  <si>
    <t>ASTI anthracite RAL 7021 matt - maximum profile length 2500 mm</t>
  </si>
  <si>
    <t>BRW (elox.) - maximális ajánlott profilhosszúság 2500 mm</t>
  </si>
  <si>
    <t>BRW antracit  RAL 7021 - maximális ajánlott profilhosszúság 2500 mm</t>
  </si>
  <si>
    <t>BRW fehér matt RAL 9003 - maximális ajánlott profilhosszúság 2500 mm</t>
  </si>
  <si>
    <t>BRW fehér fényes RAL 9003 - maximális ajánlott profilhosszúság 2500 mm</t>
  </si>
  <si>
    <t>BRW barna - maximális ajánlott profilhosszúság 2500 mm</t>
  </si>
  <si>
    <t>BRW csiszolt - maximális ajánlott profilhosszúság 2500 mm</t>
  </si>
  <si>
    <t>BRW fekete matt - maximális ajánlott profilhosszúság 2500 mm</t>
  </si>
  <si>
    <t>BRW fekete csiszolt - maximális ajánlott profilhosszúság 2500 mm</t>
  </si>
  <si>
    <t>Corleone (elox.) - maximális ajánlott profilhosszúság 1500 mm</t>
  </si>
  <si>
    <t>Corleone fekete matt - maximális ajánlott profilhosszúság 1500 mm</t>
  </si>
  <si>
    <t>Imola (elox.) - maximális ajánlott profilhosszúság 2500 mm</t>
  </si>
  <si>
    <t>Imola fekete matt - maximális ajánlott profilhosszúság 2500 mm</t>
  </si>
  <si>
    <t>Imola fehér matt RAL 9003 - maximális ajánlott profilhosszúság 2500 mm</t>
  </si>
  <si>
    <t>Modena (elox.) - maximális ajánlott profilhosszúság 2500 mm</t>
  </si>
  <si>
    <t>Modena fekete matt - maximális ajánlott profilhosszúság 2500 mm</t>
  </si>
  <si>
    <t>Verona arany - maximális ajánlott profilhosszúság 2150 mm</t>
  </si>
  <si>
    <t>Modena fekete csiszolt - maximális ajánlott profilhosszúság 2500 mm</t>
  </si>
  <si>
    <t>Palio (elox.) - maximális ajánlott profilhosszúság 2500 mm</t>
  </si>
  <si>
    <t>Palio fekete matt - maximális ajánlott profilhosszúság 2500 mm</t>
  </si>
  <si>
    <t>Pisa (elox.) - maximális ajánlott profilhosszúság 2500 mm</t>
  </si>
  <si>
    <t>Pisa fekete matt - maximális ajánlott profilhosszúság 2500 mm</t>
  </si>
  <si>
    <t>Vivaro arany - maximális ajánlott profilhosszúság 2150 mm</t>
  </si>
  <si>
    <t>Siena (elox.) - maximális ajánlott profilhosszúság 2500 mm</t>
  </si>
  <si>
    <t>Siena fekete matt - maximális ajánlott profilhosszúság 2500 mm</t>
  </si>
  <si>
    <t>Verona (elox.) - maximális ajánlott profilhosszúság 2500 mm</t>
  </si>
  <si>
    <t>Verona csiszolt - maximális ajánlott profilhosszúság 2500 mm</t>
  </si>
  <si>
    <t>Verona fekete fényes - maximális ajánlott profilhosszúság 2500 mm</t>
  </si>
  <si>
    <t>Verona fekete matt - maximális ajánlott profilhosszúság 2500 mm</t>
  </si>
  <si>
    <t>Verona barna - maximális ajánlott profilhosszúság 2500 mm</t>
  </si>
  <si>
    <t>Verona champagne - maximális ajánlott profilhosszúság 2500 mm</t>
  </si>
  <si>
    <t>Rocca fekete matt - maximális ajánlott profilhosszúság 2150 mm</t>
  </si>
  <si>
    <t>Vivaro (elox.) - maximális ajánlott profilhosszúság 2500 mm</t>
  </si>
  <si>
    <t>Vivaro fekete matt - maximális ajánlott profilhosszúság 2500 mm</t>
  </si>
  <si>
    <t>Imola arany - maximális ajánlott profilhosszúság 2150 mm</t>
  </si>
  <si>
    <t>Vivaro fehér matt RAL 9003 - maximális ajánlott profilhosszúság 2500 mm</t>
  </si>
  <si>
    <t>Vivaro fehér fényes RAL 9003 - maximális ajánlott profilhosszúság 2500 mm</t>
  </si>
  <si>
    <t>Rocca (elox.) - maximális ajánlott profilhosszúság 2150 mm</t>
  </si>
  <si>
    <t>Pisa fehér matt RAL 9003 - maximális ajánlott profilhosszúság 2500 mm</t>
  </si>
  <si>
    <t>Pisa fehér fényes RAL 9003 - maximális ajánlott profilhosszúság 2500 mm</t>
  </si>
  <si>
    <t>Várna fekete - maximális ajánlott profilhosszúság 1200 mm</t>
  </si>
  <si>
    <t>BRW arany csiszolt - maximális ajánlott profilhosszúság 2500 mm</t>
  </si>
  <si>
    <t>Verona arany csiszolt - maximális ajánlott profilhosszúság 2150 mm</t>
  </si>
  <si>
    <t>Vivaro arany csiszolt - maximális ajánlott profilhosszúság 2150 mm</t>
  </si>
  <si>
    <t>Pisa arany - maximális ajánlott profilhosszúság 2150 mm</t>
  </si>
  <si>
    <t>ASTI fekete matt - maximális ajánlott profilhosszúság 2150 mm</t>
  </si>
  <si>
    <t>ASTI antracit RAL 7021 matt - maximális ajánlott profilhosszúság 2500 mm</t>
  </si>
  <si>
    <t>BRW champagne - maximális ajánlott profilhosszúság 2500 mm</t>
  </si>
  <si>
    <t>BRW champagne világos - maximális ajánlott profilhosszúság 2500 mm</t>
  </si>
  <si>
    <t>ROMA fekete matt - maximális ajánlott profilhosszúság 2696 mm</t>
  </si>
  <si>
    <t>ROMA champagne matt - maximális ajánlott profilhosszúság 2696 mm</t>
  </si>
  <si>
    <t>ROMA GRIP fekete matt - maximális ajánlott profilhosszúság 2696 mm</t>
  </si>
  <si>
    <t>ROMA GRIP champagne matt - maximális ajánlott profilhosszúság 2696 mm</t>
  </si>
  <si>
    <t>Varna nemůže být na výšku, protože se do něho nadá vyfrézovat pant ani závěs</t>
  </si>
  <si>
    <t>max doporučená délka</t>
  </si>
  <si>
    <t>mx výška</t>
  </si>
  <si>
    <t>max šířka</t>
  </si>
  <si>
    <t>max délka profilu</t>
  </si>
  <si>
    <t>AI43</t>
  </si>
  <si>
    <t>AJ43</t>
  </si>
  <si>
    <t>BRW zlatá - maximální doporučená délka profilu 2500 mm</t>
  </si>
  <si>
    <t>BRW zlatá - maximálna odporúčaná dĺžka profilu 2500 mm</t>
  </si>
  <si>
    <t>BRW złota- maksymalna zalecana długość profilu 2500 mm</t>
  </si>
  <si>
    <t>BRW arany - maximális ajánlott profilhosszúság 2500 mm</t>
  </si>
  <si>
    <t>BRW gold - maximum profile length 2500 mm</t>
  </si>
  <si>
    <t>max rozměry jen pro profil se nenatahují</t>
  </si>
  <si>
    <t>Při použití pantů je maximální doporučený rozměr 600mm</t>
  </si>
  <si>
    <t>Pri použití pántov je maximálny odporúčaný rozmer 600mm</t>
  </si>
  <si>
    <t>W przypadku zawiasów maksymalny zalecany rozmiar to 600mm</t>
  </si>
  <si>
    <t>A pántok használata esetén a maximális ajánlott méret a 600mm</t>
  </si>
  <si>
    <t>When using hinges, the maximal recommended size is 600mm</t>
  </si>
  <si>
    <t>csillapítós</t>
  </si>
  <si>
    <t>Barva profilu a síťky se může lišit z důvodu tolerance v procesu výroby</t>
  </si>
  <si>
    <t>Farba profilu a sieťky sa môže líšiť z dôvodu tolerancie v procese výroby.</t>
  </si>
  <si>
    <t>Kolor profilu i siatki może się różnić z powodu tolerancji w procesie produkcji.</t>
  </si>
  <si>
    <t>A profil és a háló színe eltérhet a gyártási folyamat tűrései miatt</t>
  </si>
  <si>
    <t>The color of the profile and the mesh may vary due to tolerances in the production process.</t>
  </si>
  <si>
    <t>Výška rámečku = světlá výška skříňky - 6 mm.</t>
  </si>
  <si>
    <t>Wysokość ramki = wysokość wewnętrzna szafki - 6 mm.</t>
  </si>
  <si>
    <t>Výška rámčeku vnútorná výška skrinky - 6 mm.</t>
  </si>
  <si>
    <t>A keret magassága = belső magassága - 6 mm.</t>
  </si>
  <si>
    <t>The height of the frame = internal height of the corpus - 6 mm.</t>
  </si>
  <si>
    <t>ostatní jazyky</t>
  </si>
  <si>
    <t>Sleva</t>
  </si>
  <si>
    <t>Zľava</t>
  </si>
  <si>
    <t>Rabat</t>
  </si>
  <si>
    <t>Engedmény</t>
  </si>
  <si>
    <t>Discount</t>
  </si>
  <si>
    <t>VISIOSUN satyna pionowo</t>
  </si>
  <si>
    <t>VISIOSUN satyna poziomo</t>
  </si>
  <si>
    <t>Warunki i zalecenia dotyczące prawidłowego zamawiania ramek aluminiowych.</t>
  </si>
  <si>
    <t>Zawsze korzystaj z aktualnej wersji formularza, który jest umieszczony na naszej stronie web.</t>
  </si>
  <si>
    <t>Podczas wypełniania formularza wypełniaj zawsze od góry do dołu.</t>
  </si>
  <si>
    <t>Jeśli dokonasz zmiany wstecz, konieczne będzie ponowne wpisanie danych poniżej zmiany.</t>
  </si>
  <si>
    <t>Przed wysłaniem zamówienia sprawdź formularz, czy są wpisane tylko te ramki, które chcesz zamówić.</t>
  </si>
  <si>
    <t>Wypełniony formularz wyślij pod adres email:</t>
  </si>
  <si>
    <t>Reklamacja nie będzie uwzględniana w przypadku, gdy ramka została już zamontowana..</t>
  </si>
  <si>
    <t>„W zielonych komórkach wpisz odległość wiercenia uchwytu od zewnętrznej krawędzi ramki.
Jeśli chcesz przewiercić uchwyt w środku ościeżnicy i na środku profilu, w zielonych polach wpisz „x”.</t>
  </si>
  <si>
    <t>Ważne informacje:</t>
  </si>
  <si>
    <t>Upozornenie:</t>
  </si>
  <si>
    <t>Upozornění:</t>
  </si>
  <si>
    <t>Értesítés:</t>
  </si>
  <si>
    <t>Warning:</t>
  </si>
  <si>
    <t>Standardowy czas realizacji zamówienia wynosi maksymalnie trzy tygodnie. Aby uzyskać dokładniejsze informacje na temat terminu dostawy, prosimy o kontakt z pracownikami Biura Obsługi Klienta tel. 32 790 85 82.</t>
  </si>
  <si>
    <t>Do ramek ponadgabarytowych (ponad rozmiar 1200 x 800 mm) może być doliczana opłata za specjalne zapakowanie i transport (dodatkowe informacje w Biurze Obsługi Klienta tel. 32 790 85 82)</t>
  </si>
  <si>
    <t>↓↓↓</t>
  </si>
  <si>
    <t>wpisz adres dostawy poniżej</t>
  </si>
  <si>
    <t>Ram_1</t>
  </si>
  <si>
    <t>Ram_2</t>
  </si>
  <si>
    <t>Ram_3</t>
  </si>
  <si>
    <t>Koszt transportu musi zostać zweryfikowany</t>
  </si>
  <si>
    <t>BRW brown - maximum profile length 2500 mm</t>
  </si>
  <si>
    <t>Cena kování</t>
  </si>
  <si>
    <t>Cena kovania</t>
  </si>
  <si>
    <t>Szerelvények ára</t>
  </si>
  <si>
    <t>Dostawa:</t>
  </si>
  <si>
    <t>zl.</t>
  </si>
  <si>
    <t>Dostawa</t>
  </si>
  <si>
    <t>Adres</t>
  </si>
  <si>
    <t>MASTER SOFT</t>
  </si>
  <si>
    <t>Satinato hnědé / Decormat Braz</t>
  </si>
  <si>
    <t>Satinato grafit / Decormat grafit</t>
  </si>
  <si>
    <t>VISIOSUN vertikálně</t>
  </si>
  <si>
    <t>VISIOSUN satén vertikálně</t>
  </si>
  <si>
    <t>Master  Ligne vertikálne</t>
  </si>
  <si>
    <t>Moru hnedá horizontálne</t>
  </si>
  <si>
    <t>Moru grafit horizontálne</t>
  </si>
  <si>
    <t xml:space="preserve">Satinato brązowe/Decormat Braz </t>
  </si>
  <si>
    <t xml:space="preserve">Satinato grafit  Decormat grafit </t>
  </si>
  <si>
    <t xml:space="preserve">VISIOSUN satyna pionowo </t>
  </si>
  <si>
    <t xml:space="preserve">VISIOSUN satyna poziomo </t>
  </si>
  <si>
    <t>Moru grafit függőlegesen</t>
  </si>
  <si>
    <t xml:space="preserve">Moru graphite vertical </t>
  </si>
  <si>
    <t>Moru brown horizontal</t>
  </si>
  <si>
    <t>Moru graphite horizontal</t>
  </si>
  <si>
    <t xml:space="preserve">Jedno vedení 3m </t>
  </si>
  <si>
    <t>Překrytí</t>
  </si>
  <si>
    <t>max wymiar ramki</t>
  </si>
  <si>
    <t>Na palecie</t>
  </si>
  <si>
    <t>Ramki w elementach, same profile (bez szkła):</t>
  </si>
  <si>
    <t>profile o max długości</t>
  </si>
  <si>
    <t>Koszty transportu &gt;</t>
  </si>
  <si>
    <t>Ramki zmontowane ze szkłem / szkło :</t>
  </si>
  <si>
    <t>MASTER FLEX</t>
  </si>
  <si>
    <t>VISIOSUN horizont</t>
  </si>
  <si>
    <t>Master  Ligne horizont</t>
  </si>
  <si>
    <t>FLUTES horizont</t>
  </si>
  <si>
    <t>Master  Ligne vertikálně</t>
  </si>
  <si>
    <t>FLUTES vertikálně</t>
  </si>
  <si>
    <t>Moru hnědá vertikálně</t>
  </si>
  <si>
    <t>Moru grafit vertikálně</t>
  </si>
  <si>
    <t>Moru hnědá hozintálně</t>
  </si>
  <si>
    <t>Moru grafit horizontálně</t>
  </si>
  <si>
    <t>Optiwhite</t>
  </si>
  <si>
    <t>cena</t>
  </si>
  <si>
    <t>Masterscreen - max rozměr 2160x1650 mm</t>
  </si>
  <si>
    <t>Masterscreen - max rozmer 2160 x 1650 mm</t>
  </si>
  <si>
    <t>Masterscreen - maksymalne wymiary 2160 x 1650 mm</t>
  </si>
  <si>
    <t>Masterscreen - maximális mérete 2160 x 1650 mm</t>
  </si>
  <si>
    <t>Masterscreen - maximum possible size 2160 x 1650 mm</t>
  </si>
  <si>
    <t>Krizet - max rozměr 2130x1650 mm</t>
  </si>
  <si>
    <t>Krizet - max rozmer 2130x1650 mm</t>
  </si>
  <si>
    <t>Krizet - maksymalne wymiary 2130 x 1650 mm</t>
  </si>
  <si>
    <t>Krizet - maximális mérete 2130 x 1650 mm</t>
  </si>
  <si>
    <t>Krizet  - maximum possible size 2130 x 1650 mm</t>
  </si>
  <si>
    <t>Stopsol bronz - max rozměr 2250x1605 mm</t>
  </si>
  <si>
    <t>Stopsol bronz  - max rozmer 2250 x 1605 mm</t>
  </si>
  <si>
    <t>Stopsol brąz - maksymalne wymiary 2250 x 1605 mm</t>
  </si>
  <si>
    <t>Stopsol bronz - maximális mérete 2250 x 1605 mm</t>
  </si>
  <si>
    <t>Stopsol bronze  - maximum possible size 2250 x 1605 mm</t>
  </si>
  <si>
    <t>vyberte ze seznamu</t>
  </si>
  <si>
    <t>vyberte zo zoznamu</t>
  </si>
  <si>
    <t>wybierz z listy</t>
  </si>
  <si>
    <t>válassza ki a listából</t>
  </si>
  <si>
    <t>select from list</t>
  </si>
  <si>
    <t>FLUTES vertikálne</t>
  </si>
  <si>
    <t>VISIOSUN vertikálne</t>
  </si>
  <si>
    <t>Moru hnedá vertikálne</t>
  </si>
  <si>
    <t>Moru grafit vertikálne</t>
  </si>
  <si>
    <t>Antisol brąz</t>
  </si>
  <si>
    <t>VISIOSUN poziomo</t>
  </si>
  <si>
    <t>Master  Ligne poziomo</t>
  </si>
  <si>
    <t>FLUTES poziomo</t>
  </si>
  <si>
    <t>Master  Ligne pionowo</t>
  </si>
  <si>
    <t>FLUTES pionowo</t>
  </si>
  <si>
    <t>VISIOSUN pionowo</t>
  </si>
  <si>
    <t>Moru brąz pionowo</t>
  </si>
  <si>
    <t>Moru grafit pionowo</t>
  </si>
  <si>
    <t>Moru brąz poziomo</t>
  </si>
  <si>
    <t>Moru grafit poziomo</t>
  </si>
  <si>
    <t>VISIOSUN vízszintesen</t>
  </si>
  <si>
    <t>Master  Ligne vízszintesen</t>
  </si>
  <si>
    <t>FLUTES vízszintesen</t>
  </si>
  <si>
    <t>Master  Ligne függőlegesen</t>
  </si>
  <si>
    <t>FLUTES függőlegesen</t>
  </si>
  <si>
    <t>VISIOSUN függőlegesen</t>
  </si>
  <si>
    <t>Moru barna függőlegesen</t>
  </si>
  <si>
    <t>Moru barna vízszintesen</t>
  </si>
  <si>
    <t>Moru grafit vízszintesen</t>
  </si>
  <si>
    <t>Transparent harded (delivery 3 weeks)</t>
  </si>
  <si>
    <t>Lacomatt</t>
  </si>
  <si>
    <t>Mirror black</t>
  </si>
  <si>
    <t>Master  Ligne horizontal</t>
  </si>
  <si>
    <t>Master  Ligne vertical</t>
  </si>
  <si>
    <t>FLUTES vertical</t>
  </si>
  <si>
    <t>VISIOSUN vertical</t>
  </si>
  <si>
    <t>Moru brown vertical</t>
  </si>
  <si>
    <t>Moru graphite vertical</t>
  </si>
  <si>
    <t>Matelac mirror silver.</t>
  </si>
  <si>
    <t>VISIOSUN satén vertikálne</t>
  </si>
  <si>
    <t>VISIOSUN szatén függőlegesen</t>
  </si>
  <si>
    <t>VISIOSUN sateen vertical</t>
  </si>
  <si>
    <t>VISIOSUN satén horizont</t>
  </si>
  <si>
    <t>VISIOSUN szatén vízszintesen</t>
  </si>
  <si>
    <t>VISIOSUN sateen horizont</t>
  </si>
  <si>
    <t>;</t>
  </si>
  <si>
    <t>Satinato hnedé / Decormat Braz</t>
  </si>
  <si>
    <t>Satinato grafit  / Decormat grafit</t>
  </si>
  <si>
    <t>Satinato barna / Decormat Braz</t>
  </si>
  <si>
    <t>Satinato brown / Decormat Braz</t>
  </si>
  <si>
    <t>Satinato graphite  / Decormat grafit</t>
  </si>
  <si>
    <t>_Úzký_Aventos_HF_TOP</t>
  </si>
  <si>
    <t>_široký_Aventos_HF_TOP</t>
  </si>
  <si>
    <t>_Úzký_Aventos_HK_XS</t>
  </si>
  <si>
    <t>_široký_Aventos_HK_XS</t>
  </si>
  <si>
    <t>_Úzký_FREElight</t>
  </si>
  <si>
    <t>_široký_FREElight</t>
  </si>
  <si>
    <t>_Úzký_FREEfold</t>
  </si>
  <si>
    <t>_široký_FREEfold</t>
  </si>
  <si>
    <t>_Úzký_Maxi</t>
  </si>
  <si>
    <t>_široký_Maxi</t>
  </si>
  <si>
    <t>_Úzký_Duo_Forte</t>
  </si>
  <si>
    <t>_široký_Duo_Forte</t>
  </si>
  <si>
    <t>_Úzký_Duo</t>
  </si>
  <si>
    <t>_široký_Duo</t>
  </si>
  <si>
    <t>_Úzký_K12</t>
  </si>
  <si>
    <t>_široký_K12</t>
  </si>
  <si>
    <t>_Úzký_spodní_K12</t>
  </si>
  <si>
    <t>_široký_spodní_K12</t>
  </si>
  <si>
    <t>_Úzký_Kraby</t>
  </si>
  <si>
    <t>_široký_Kraby</t>
  </si>
  <si>
    <t>_Úzký_spodní_Kraby</t>
  </si>
  <si>
    <t>_široký_spodní_Kraby</t>
  </si>
  <si>
    <t>_Úzký_Kiaro</t>
  </si>
  <si>
    <t>_široký_Kiaro</t>
  </si>
  <si>
    <t>_Úzký_Link</t>
  </si>
  <si>
    <t>_široký_Link</t>
  </si>
  <si>
    <t>_Úzký_Stronglift_horní</t>
  </si>
  <si>
    <t>_široký_Stronglift_horní</t>
  </si>
  <si>
    <t>_Úzký_Stronglift_spodní</t>
  </si>
  <si>
    <t>_široký_Stronglift_spodní</t>
  </si>
  <si>
    <t>_Úzký_LiftMini</t>
  </si>
  <si>
    <t>_široký_LiftMini</t>
  </si>
  <si>
    <t>_1</t>
  </si>
  <si>
    <t>_2</t>
  </si>
  <si>
    <t>_3</t>
  </si>
  <si>
    <t>I understand and accept the conditions and recomendations above.</t>
  </si>
  <si>
    <t>Francouština</t>
  </si>
  <si>
    <t>BRW (elox.) - longueur maximale recommandée du profil 2500 mm</t>
  </si>
  <si>
    <t>BRW antracite RAL 7021 - longueur maximale recommandée du profil 2500 mm</t>
  </si>
  <si>
    <t>BRW blanc mat RAL 9003 - longueur maximale recommandée du profil 2500 mm</t>
  </si>
  <si>
    <t>BRW blanc brillant RAL 9003 - longueur maximale recommandée du profil 2500 mm</t>
  </si>
  <si>
    <t>BRW marron - longueur maximale recommandée du profil 2500 mm</t>
  </si>
  <si>
    <t>BRW brossé - longueur maximale recommandée du profil 2500 mm</t>
  </si>
  <si>
    <t>BRW noir mat - longueur maximale recommandée du profil 2500 mm</t>
  </si>
  <si>
    <t>BRW doré - longueur maximale recommandée du profil 2500 mm</t>
  </si>
  <si>
    <t>BRW noir brossé - longueur maximale recommandée du profil 2500 mm</t>
  </si>
  <si>
    <t>Corleone (elox.) - longueur maximale recommandée du profil 1500 mm</t>
  </si>
  <si>
    <t>Corleone noir mat - longueur maximale recommandée du profil 1500 mm</t>
  </si>
  <si>
    <t>Imola (elox.) - longueur maximale recommandée du profil 2500 mm</t>
  </si>
  <si>
    <t>Imola noir mat - longueur maximale recommandée du profil 2500 mm</t>
  </si>
  <si>
    <t>Imola blanc mat RAL 9003 - longueur maximale recommandée du profil 2500 mm</t>
  </si>
  <si>
    <t>Modena (elox.) - longueur maximale recommandée du profil 2500 mm</t>
  </si>
  <si>
    <t>Modena noir mat - longueur maximale recommandée du profil 2500 mm</t>
  </si>
  <si>
    <t>Verona doré - longueur maximale recommandée du profil 2150 mm</t>
  </si>
  <si>
    <t>Modena noir brossé - longueur maximale recommandée du profil 2500 mm</t>
  </si>
  <si>
    <t>Modena inox foncé brossé (inox lija) - longueur maximale recommandée du profil 2500 mm</t>
  </si>
  <si>
    <t>Palio (elox.) - longueur maximale recommandée du profil 2500 mm</t>
  </si>
  <si>
    <t>Palio noir mat - longueur maximale recommandée du profil 2500 mm</t>
  </si>
  <si>
    <t>Pisa (elox.) - longueur maximale recommandée du profil 2500 mm</t>
  </si>
  <si>
    <t>Pisa noir mat - longueur maximale recommandée du profil 2500 mm</t>
  </si>
  <si>
    <t>Vivaro doré - longueur maximale recommandée du profil 2150 mm</t>
  </si>
  <si>
    <t>Siena (elox.) - longueur maximale recommandée du profil 2500 mm</t>
  </si>
  <si>
    <t>Siena noir mat - longueur maximale recommandée du profil 2500 mm</t>
  </si>
  <si>
    <t>Verona (elox.) - longueur maximale recommandée du profil 2500 mm</t>
  </si>
  <si>
    <t>Verona aluminium brossé - longueur maximale recommandée du profil 2500 mm</t>
  </si>
  <si>
    <t>Verona noir brillant - longueur maximale recommandée du profil 2500 mm</t>
  </si>
  <si>
    <t>Verona noir mat - longueur maximale recommandée du profil 2500 mm</t>
  </si>
  <si>
    <t>Verona marron - longueur maximale recommandée du profil 2500 mm</t>
  </si>
  <si>
    <t>Verona champagne - longueur maximale recommandée du profil 2500 mm</t>
  </si>
  <si>
    <t>Rocca noir mat - longueur maximale recommandée du profil 2150 mm</t>
  </si>
  <si>
    <t>Vivaro (elox.) - longueur maximale recommandée du profil 2500 mm</t>
  </si>
  <si>
    <t>Vivaro noir mat - longueur maximale recommandée du profil 2500 mm</t>
  </si>
  <si>
    <t>Imola doré - longueur maximale recommandée du profil 2150 mm</t>
  </si>
  <si>
    <t>Vivaro inox foncé brossé (inox lija) - longueur maximale recommandée du profil 2500 mm</t>
  </si>
  <si>
    <t>Vivaro blanc mat RAL 9003 - longueur maximale recommandée du profil 2500 mm</t>
  </si>
  <si>
    <t>Vivaro blanc brillant RAL 9003 - longueur maximale recommandée du profil 2500 mm</t>
  </si>
  <si>
    <t>Varna (elox.) - longueur maximale recommandée du profil 2500 mm</t>
  </si>
  <si>
    <t>Rocca (elox.) - longueur maximale recommandée du profil 2150 mm</t>
  </si>
  <si>
    <t>Pisa blanc mat RAL 9003 - longueur maximale recommandée du profil 2500 mm</t>
  </si>
  <si>
    <t>Pisa blanc brillant RAL 9003 - longueur maximale recommandée du profil 2500 mm</t>
  </si>
  <si>
    <t>Varna noir - longueur maximale recommandée du profil 1200 mm</t>
  </si>
  <si>
    <t>BRW doré brossé - longueur maximale recommandée du profil 2500 mm</t>
  </si>
  <si>
    <t>Verona doré brossé - longueur maximale recommandée du profil 2150 mm</t>
  </si>
  <si>
    <t>Vivaro doré brossé - longueur maximale recommandée du profil 2150 mm</t>
  </si>
  <si>
    <t>Pisa doré - longueur maximale recommandée du profil 2150 mm</t>
  </si>
  <si>
    <t>ASTI noir mat - longueur maximale recommandée du profil 2150 mm</t>
  </si>
  <si>
    <t>ASTI antracite RAL 7021 mat - longueur maximale recommandée du profil 2500 mm</t>
  </si>
  <si>
    <t>BRW champagne - longueur maximale recommandée du profil 2500 mm</t>
  </si>
  <si>
    <t>BRW champagne light - longueur maximale recommandée du profil 2500 mm</t>
  </si>
  <si>
    <t>ROMA noir mat - longueur maximale recommandée du profil 2696 mm</t>
  </si>
  <si>
    <t>ROMA champagne mat - longueur maximale recommandée du profil 2696 mm</t>
  </si>
  <si>
    <t>ROMA GRIP noir mat - longueur maximale recommandée du profil 2696 mm</t>
  </si>
  <si>
    <t>ROMA GRIP champagne mat - longueur maximale recommandée du profil 2696 mm</t>
  </si>
  <si>
    <t>Siena elox (à gauche et à droite) + Varna elox (en haut et en bas)</t>
  </si>
  <si>
    <t>Siena noir (à gauche et à droite) + Varna noir (en haut et en bas)</t>
  </si>
  <si>
    <t>Palio elox (à gauche et à droite) + Varna elox (en haut et en bas)</t>
  </si>
  <si>
    <t>Rocca elox (à gauche et à droite) + Varna elox (en haut et en bas)</t>
  </si>
  <si>
    <t>Rocca noir (à gauche et à droite) + Varna noir (en haut et en bas)</t>
  </si>
  <si>
    <t>Palio noir (à gauche et à droite) + Varna noir (en haut et en bas)</t>
  </si>
  <si>
    <t>Brillant</t>
  </si>
  <si>
    <t>Sans modification</t>
  </si>
  <si>
    <t>Trempé</t>
  </si>
  <si>
    <t>Film</t>
  </si>
  <si>
    <t>Clair trempé (livraison sous 3 semaines)</t>
  </si>
  <si>
    <t>Stopsol bronze - dimension maximale 2250 x 1605 mm</t>
  </si>
  <si>
    <t>Miroir graphite - dimension maximale 2550 x 1605 mm</t>
  </si>
  <si>
    <t>Krizet - dimension maximale 2130 x 1650 mm</t>
  </si>
  <si>
    <t>Lacobel RAL 9003 - dimension maximale 2550 x 1605 mm</t>
  </si>
  <si>
    <t>Clair</t>
  </si>
  <si>
    <t>Satinato marron / Decormat Braz</t>
  </si>
  <si>
    <t>Satinato graphite / Decormat graphite</t>
  </si>
  <si>
    <t>Masterscreen - dimension maximale 2160 x 1650 mm</t>
  </si>
  <si>
    <t>Miroir</t>
  </si>
  <si>
    <t>Miroir marron</t>
  </si>
  <si>
    <t>VISIOSUN horizontal</t>
  </si>
  <si>
    <t>Master Ligne horizontal</t>
  </si>
  <si>
    <t>FLUTES horizontal</t>
  </si>
  <si>
    <t>Master Ligne vertical</t>
  </si>
  <si>
    <t>VISIOSUN satinette vertical</t>
  </si>
  <si>
    <t>VISIOSUN satinette horizontal</t>
  </si>
  <si>
    <t>Moru marron vertical</t>
  </si>
  <si>
    <t>Moru marron horizontal</t>
  </si>
  <si>
    <t>Matelac miroir bronze</t>
  </si>
  <si>
    <t>Matelac miroir graphite</t>
  </si>
  <si>
    <t>Matelac miroir argenté</t>
  </si>
  <si>
    <t>Grille alu doré</t>
  </si>
  <si>
    <t>Grille acier noir mat RAL 9005</t>
  </si>
  <si>
    <t>Grille acier blanche</t>
  </si>
  <si>
    <t>Grille eloxée</t>
  </si>
  <si>
    <t>Cadre</t>
  </si>
  <si>
    <t>Le perçage standard pour la coupe de la charnière est à 3 mm du bord.</t>
  </si>
  <si>
    <t>Les prix indiqués sont hors TVA et ne comprennent pas le prix des quincailleries demandées !</t>
  </si>
  <si>
    <t>Type de profil</t>
  </si>
  <si>
    <t>Type de traitement du verre</t>
  </si>
  <si>
    <t>Nombre d'unités</t>
  </si>
  <si>
    <t>Largeur</t>
  </si>
  <si>
    <t>Hauteur</t>
  </si>
  <si>
    <t>Remarques</t>
  </si>
  <si>
    <t>Prix total des cadres</t>
  </si>
  <si>
    <t>Prix total des quincailleries</t>
  </si>
  <si>
    <t>Prix de la commande complète</t>
  </si>
  <si>
    <t>Charnières</t>
  </si>
  <si>
    <t>Aventos autres</t>
  </si>
  <si>
    <t>STRONG avec amortissement</t>
  </si>
  <si>
    <t>Charnières avec piston à levage</t>
  </si>
  <si>
    <t>Porte supérieure</t>
  </si>
  <si>
    <t>Porte inférieure</t>
  </si>
  <si>
    <t>Clip en applique</t>
  </si>
  <si>
    <t>Clip semi-applique</t>
  </si>
  <si>
    <t>Clip rentrant</t>
  </si>
  <si>
    <t>Angle 45°</t>
  </si>
  <si>
    <t>En applique</t>
  </si>
  <si>
    <t>Semi-applique</t>
  </si>
  <si>
    <t>Rentrant</t>
  </si>
  <si>
    <t>En applique avec ressort inversé</t>
  </si>
  <si>
    <t>Retrant avec ressort inversé</t>
  </si>
  <si>
    <t>Clip à vis H2</t>
  </si>
  <si>
    <t>Clip à vis H4</t>
  </si>
  <si>
    <t>Clip à eurovis H4</t>
  </si>
  <si>
    <t>Slide on à vis H2</t>
  </si>
  <si>
    <t>Slide on à vis H4</t>
  </si>
  <si>
    <t>Slide on à eurovis H2</t>
  </si>
  <si>
    <t>Slide on à eurovis H4</t>
  </si>
  <si>
    <t>En applique pour Blumotion</t>
  </si>
  <si>
    <t>Semi-applique avec Blumotion intégré</t>
  </si>
  <si>
    <t>Rentrant avec Blumotion intégré</t>
  </si>
  <si>
    <t>Clip 45° en applique</t>
  </si>
  <si>
    <t>Clip 45° semi-applique</t>
  </si>
  <si>
    <t>En applique sans ressort</t>
  </si>
  <si>
    <t>En applique sans ressort (TIP-ON)</t>
  </si>
  <si>
    <t>Clip pour eurovis</t>
  </si>
  <si>
    <t>Clip à vis</t>
  </si>
  <si>
    <t>Hauteur augmentée de 6 mm</t>
  </si>
  <si>
    <t>Clip 45°</t>
  </si>
  <si>
    <t>Clip pour eurovis H0</t>
  </si>
  <si>
    <t>Clip à vis H0</t>
  </si>
  <si>
    <t>Choix de la position du cadre</t>
  </si>
  <si>
    <t>Fabricant des charnières</t>
  </si>
  <si>
    <t>Type de charnières</t>
  </si>
  <si>
    <t>Type d'Aventos</t>
  </si>
  <si>
    <t>Type de embasse</t>
  </si>
  <si>
    <t>Nombre de charnières par cadre</t>
  </si>
  <si>
    <t>Pistons de levage</t>
  </si>
  <si>
    <t>Ajouter la quincaillerie indiquée</t>
  </si>
  <si>
    <t>Emplacement</t>
  </si>
  <si>
    <t>En haut</t>
  </si>
  <si>
    <t>En bas</t>
  </si>
  <si>
    <t>À droite</t>
  </si>
  <si>
    <t>À gauche</t>
  </si>
  <si>
    <t>2 Pièces (des deux côtés)</t>
  </si>
  <si>
    <t>Exécution de la deuxième porte</t>
  </si>
  <si>
    <t>Cadre ALU étroit</t>
  </si>
  <si>
    <t>Cadre ALU large</t>
  </si>
  <si>
    <t>MDF d'épaisseur 16 mm</t>
  </si>
  <si>
    <t>MDF d'épaisseur 18 mm</t>
  </si>
  <si>
    <t>DTDL d'épaisseur 18 mm</t>
  </si>
  <si>
    <t>Emplacement des charnières</t>
  </si>
  <si>
    <t>Sélectionnez dans la liste</t>
  </si>
  <si>
    <t>Distance de la charnière du bord</t>
  </si>
  <si>
    <t>Complétez uniquement si le perçage ne sera pas symétrique au centre</t>
  </si>
  <si>
    <t>Formulaire de commande pour cadres ALU</t>
  </si>
  <si>
    <t>Lors du remplissage du formulaire, procédez toujours de haut en bas. Si vous effectuez une modification rétroactive, vérifiez que les éléments suivants sont corrects.</t>
  </si>
  <si>
    <t>Prix total</t>
  </si>
  <si>
    <t>Client</t>
  </si>
  <si>
    <t>Téléphone de contact</t>
  </si>
  <si>
    <t>E-mail de contact</t>
  </si>
  <si>
    <t>Adresse de l'entreprise</t>
  </si>
  <si>
    <t>Numéro de TVA</t>
  </si>
  <si>
    <t>Remise sur les cadres</t>
  </si>
  <si>
    <t>Remise sur les quincailleries</t>
  </si>
  <si>
    <t>Numéro de commande</t>
  </si>
  <si>
    <t>Les aperçus de couleurs pour chaque nom RAL et REF sont uniquement indicatifs !!!!</t>
  </si>
  <si>
    <t>Type de quincaillerie</t>
  </si>
  <si>
    <t>STRONG sans amortissement</t>
  </si>
  <si>
    <t>Cadres coulissants</t>
  </si>
  <si>
    <t>La commande est généralement livrée avec la quincaillerie et les profils de guidage inclus</t>
  </si>
  <si>
    <t>Dimensions intérieures de l'armoire (mm)</t>
  </si>
  <si>
    <t>Nombre de portes</t>
  </si>
  <si>
    <t>Ici sont indiqués les dépassements standard des portes</t>
  </si>
  <si>
    <t>Couleur</t>
  </si>
  <si>
    <t>Commande ALU</t>
  </si>
  <si>
    <t>Couleurs LACOBEL A MATELAC</t>
  </si>
  <si>
    <t>Type de bras</t>
  </si>
  <si>
    <t>Poids de la poignée (g)</t>
  </si>
  <si>
    <t>Types de profils</t>
  </si>
  <si>
    <t>Inférieur</t>
  </si>
  <si>
    <t>Distance minimale de placement des charnières</t>
  </si>
  <si>
    <t>En applique avec Blumotion intégré</t>
  </si>
  <si>
    <t>Le perçage standard pour les charnières de tous les types de quincaillerie Aventos HF est à 100 mm du bord.</t>
  </si>
  <si>
    <t>Le diamètre standard des trous pour les poignées est de 7 mm dans le verre et de 5 mm dans le cadre (les rondelles de distance sont incluses).</t>
  </si>
  <si>
    <t>Si votre demande diffère de ce qui est indiqué ci-dessus, veuillez l'indiquer dans les notes.</t>
  </si>
  <si>
    <t>Pour certains types de poignées, les filets pour vis sont enfoncés, il est donc nécessaire d'utiliser des rondelles de distance appropriées.</t>
  </si>
  <si>
    <t>Les réclamations liées aux dommages ne peuvent pas être faites si le cadre a déjà été monté.</t>
  </si>
  <si>
    <t>Pour fixer les quincailleries dans le cadre ALU, il est nécessaire d'utiliser des vis spéciales à cet effet (par exemple, code 13681).</t>
  </si>
  <si>
    <t>Utilisez toujours la version la plus récente du formulaire, qui est disponible sur notre site.</t>
  </si>
  <si>
    <t>L'écart entre les séparateurs doit être d'au moins 100 mm.</t>
  </si>
  <si>
    <t>Une commande peut contenir plusieurs types (tailles) de cadres à la fois, et une telle commande est considérée comme valide. Il est donc recommandé de vérifier le formulaire avant l'envoi pour s'assurer qu'il ne contient que les cadres que vous avez demandés.</t>
  </si>
  <si>
    <t>Le formulaire contient plusieurs feuilles, entre lesquelles vous pouvez basculer en bas.</t>
  </si>
  <si>
    <t>Veuillez remplir vos coordonnées, puis cliquez sur la case requise ci-dessous.</t>
  </si>
  <si>
    <t>En remplissant vos coordonnées, vous exprimez également votre consentement pour avoir pris connaissance des informations ci-dessous !</t>
  </si>
  <si>
    <t>Cadres standard</t>
  </si>
  <si>
    <t>Dessins des profils et quincaillerie</t>
  </si>
  <si>
    <t>La taille maximale recommandée du cadre est de 2500 x 1250 mm (pour les cadres avec verre collé, par exemple, Corleone 1500 x 600 mm)</t>
  </si>
  <si>
    <t>Sur demande du client, il est possible de fournir des cadres avec une longueur de profil maximale de 3 m. La taille maximale du verre dans ce cas est de 2500 x 1300 mm.</t>
  </si>
  <si>
    <t>Tous les verres Lacobel et Matelac peuvent être recouverts de film de sécurité (veuillez l'indiquer dans les remarques si nécessaire)</t>
  </si>
  <si>
    <t>Envoyez la commande remplie à l'adresse</t>
  </si>
  <si>
    <t>Dessins des profils</t>
  </si>
  <si>
    <t>Kit de quincaillerie pour cadre étroit H27AL (88630)</t>
  </si>
  <si>
    <t>Kit de quincaillerie pour cadre large H37AL (88631)</t>
  </si>
  <si>
    <t>La hauteur du cadre est normalement de 6 mm inférieure à la hauteur intérieure de l'armoire indiquée.</t>
  </si>
  <si>
    <t>Les cadres sont préparés pour les systèmes coulissants H27AL (charge maximale 25 kg par cadre) et H37AL (charge maximale 35 kg par cadre).</t>
  </si>
  <si>
    <t>Guide supérieur longueur 2 m (87313)</t>
  </si>
  <si>
    <t>Guide inférieur longueur 2 m (87315)</t>
  </si>
  <si>
    <t>Guide supérieur longueur 3 m (87312)</t>
  </si>
  <si>
    <t>Guide inférieur longueur 3 m (87314)</t>
  </si>
  <si>
    <t>Autre demande (pièces)</t>
  </si>
  <si>
    <t>Quantité (pièces)</t>
  </si>
  <si>
    <t>Pour les cadres surdimensionnés (au-delà de la taille 1200 x 800 mm), des frais supplémentaires pour l'emballage spécial et le transport peuvent être facturés (plus d'informations auprès des employés du service client).</t>
  </si>
  <si>
    <t>Les dimensions appropriées du cadre pour chaque type de quincaillerie doivent être vérifiées avant la saisie de la commande (Aventplan, catalogue, ...), le formulaire n’a pas de limites définies.</t>
  </si>
  <si>
    <t>L'échantillon de verre peut être commandé sous les codes Lacebel VZK003P et Matelac VZK004P.</t>
  </si>
  <si>
    <t>Le prix des cadres coulissants est le même que celui des cadres standard.</t>
  </si>
  <si>
    <t>Si la poignée est fixée à travers le verre, il est toujours nécessaire d'utiliser une rondelle de distance (par exemple 144516, 191970, C0315).</t>
  </si>
  <si>
    <t>Les dessins des portes sont montrés vues de face.</t>
  </si>
  <si>
    <t>Le cadre surdimensionné peut entraîner des frais de transport plus élevés.</t>
  </si>
  <si>
    <t>Emplacement du bras</t>
  </si>
  <si>
    <t>La taille maximale du cadre est de 2500x1300 mm</t>
  </si>
  <si>
    <t>La distance minimale de la charnière du bord du cadre est de 70 mm</t>
  </si>
  <si>
    <t>La distance minimale de la charnière du bord du cadre est de 80 mm</t>
  </si>
  <si>
    <t>Clip entrant</t>
  </si>
  <si>
    <t>StrongHinges Clip à eurovis H0</t>
  </si>
  <si>
    <t>StrongHinges Clip à vis H0</t>
  </si>
  <si>
    <t>StrongHinges Clip à eurovis H2</t>
  </si>
  <si>
    <t>StongHinges Clip à vis H2</t>
  </si>
  <si>
    <t>Clip à eurovis H0</t>
  </si>
  <si>
    <t>Clip à eurovis H2</t>
  </si>
  <si>
    <t>Sensys en applique avec amortissement</t>
  </si>
  <si>
    <t>Sensys semi-applique avec amortissement</t>
  </si>
  <si>
    <t>Sensys rentrant avec amortissement</t>
  </si>
  <si>
    <t>Sensys montage à vis avec amortissement</t>
  </si>
  <si>
    <t>Sensys en applique sans amortissement</t>
  </si>
  <si>
    <t>Intermat en applique</t>
  </si>
  <si>
    <t>Intermat en applique 125°</t>
  </si>
  <si>
    <t>Intermat rentrant</t>
  </si>
  <si>
    <t>Intermat montage à vis</t>
  </si>
  <si>
    <t>Sensys rentrant sans amortissement</t>
  </si>
  <si>
    <t>Rondelle à vis</t>
  </si>
  <si>
    <t>Rondelle à eurovis</t>
  </si>
  <si>
    <t>Rondelle pour chevilles d'expansion</t>
  </si>
  <si>
    <t>Clip en applique avec amortissement 110°</t>
  </si>
  <si>
    <t>Clip semi-applique avec amortissement 110°</t>
  </si>
  <si>
    <t>Clip rentrant avec amortissement 110°</t>
  </si>
  <si>
    <t>Clip en applique sans amortissement 110°</t>
  </si>
  <si>
    <t>Clip semi applique sans amortissement 110°</t>
  </si>
  <si>
    <t>Clip entrant sans amortissement 110°</t>
  </si>
  <si>
    <t>Clip en applique TIP-ON 110°</t>
  </si>
  <si>
    <t>Clip semi-applique TIP-ON 110°</t>
  </si>
  <si>
    <t>Clip rentrant TIP-ON 110°</t>
  </si>
  <si>
    <t>Clip en applique avec amortissement 95°</t>
  </si>
  <si>
    <t>Clip semi- applique avec amortissement 95°</t>
  </si>
  <si>
    <t>Clip rentrant avec amortissement 95°</t>
  </si>
  <si>
    <t>Clip en applique TIP-ON 95°</t>
  </si>
  <si>
    <t>Clip en applique TIP-ON 120°</t>
  </si>
  <si>
    <t>Clip à eurovis</t>
  </si>
  <si>
    <t>Élevé de 6 mm</t>
  </si>
  <si>
    <t>Clip en applique à enficher</t>
  </si>
  <si>
    <t>Clip semi-applique à enficher</t>
  </si>
  <si>
    <t>Clip rentrant à enficher</t>
  </si>
  <si>
    <t>STRONG 30N blanc Automatique</t>
  </si>
  <si>
    <t>STRONG 60N blanc Automatique</t>
  </si>
  <si>
    <t>STRONG 80N blanc Automatique</t>
  </si>
  <si>
    <t>STRONG 100N blanc Automatique</t>
  </si>
  <si>
    <t>STRONG 120N blanc Automatique</t>
  </si>
  <si>
    <t>STRONG 60N blanc Réglable</t>
  </si>
  <si>
    <t>STRONG 80N blanc Réglable</t>
  </si>
  <si>
    <t>STRONG 100N blanc Réglable</t>
  </si>
  <si>
    <t>STRONG 120N blanc Réglable</t>
  </si>
  <si>
    <t>STRONG 30N gris Automatique</t>
  </si>
  <si>
    <t>STRONG 60N gris Automatique</t>
  </si>
  <si>
    <t>STRONG 80N gris Automatique</t>
  </si>
  <si>
    <t>STRONG 100N gris Automatique</t>
  </si>
  <si>
    <t>STRONG 120N gris Automatique</t>
  </si>
  <si>
    <t>STRONG 60N gris Réglable</t>
  </si>
  <si>
    <t>STRONG 80N gris Réglable</t>
  </si>
  <si>
    <t>STRONG 100N gris Réglable</t>
  </si>
  <si>
    <t>STRONG 120N gris Réglable</t>
  </si>
  <si>
    <t>Dimension minimale du cadre : 140x140 mm</t>
  </si>
  <si>
    <t>Sensys appliquée P2O</t>
  </si>
  <si>
    <t>naložé avec clip amorti 110°, ONYX</t>
  </si>
  <si>
    <t>polonaložé avec clip amorti 110°, ONYX</t>
  </si>
  <si>
    <t>inséré avec clip amorti 110°, ONYX</t>
  </si>
  <si>
    <t>naložé 95°, Onyx</t>
  </si>
  <si>
    <t>StrongHinges S3 charnière clip vis avec excentrique H2</t>
  </si>
  <si>
    <t>Introduction</t>
  </si>
  <si>
    <t>La taille maximale du cadre Corleone est de 1500x600mm</t>
  </si>
  <si>
    <t>Combinaison de 2 profils</t>
  </si>
  <si>
    <t>Clôtures de séparation</t>
  </si>
  <si>
    <t>Marque de ferrures</t>
  </si>
  <si>
    <t>Variante de ferrures</t>
  </si>
  <si>
    <t>Montage</t>
  </si>
  <si>
    <t>Charnières pour basculant</t>
  </si>
  <si>
    <t>Espacement</t>
  </si>
  <si>
    <t>Espacement de la poignée (mm)</t>
  </si>
  <si>
    <t>Emplacement de la poignée</t>
  </si>
  <si>
    <t>Systeme rabattables</t>
  </si>
  <si>
    <t>semi-applique</t>
  </si>
  <si>
    <t>rentrant</t>
  </si>
  <si>
    <t>Oui</t>
  </si>
  <si>
    <t>Non</t>
  </si>
  <si>
    <t>Horizontalement (délai de livraison 4 semaines)</t>
  </si>
  <si>
    <t>Verticalement (délai de livraison 4 semaines)</t>
  </si>
  <si>
    <t>Horizontalement et verticalement (délai de livraison 4 semaines)</t>
  </si>
  <si>
    <t>Cadre composé de deux profils différents</t>
  </si>
  <si>
    <t>Type de film</t>
  </si>
  <si>
    <t>Blanc</t>
  </si>
  <si>
    <t>Noir</t>
  </si>
  <si>
    <t>Autre</t>
  </si>
  <si>
    <t>Résumé</t>
  </si>
  <si>
    <t xml:space="preserve">En cas d’utilisation avec verre, la dimension maximale recommandée est 1500 x 600 mm </t>
  </si>
  <si>
    <t>(du bas)</t>
  </si>
  <si>
    <t>(de gauche)</t>
  </si>
  <si>
    <t>(du haut)</t>
  </si>
  <si>
    <t>(de droite)</t>
  </si>
  <si>
    <t>275672 - automatique 30N gris</t>
  </si>
  <si>
    <t>275673 - automatique 60N gris</t>
  </si>
  <si>
    <t>275674 - automatique 80N gris</t>
  </si>
  <si>
    <t>275675 - automatique 100N gris</t>
  </si>
  <si>
    <t>275676 - automatique 120N gris</t>
  </si>
  <si>
    <t>248162 - automatique 30N blanc</t>
  </si>
  <si>
    <t>248163 - automatique 60N blanc</t>
  </si>
  <si>
    <t>248164 - automatique 80N blanc</t>
  </si>
  <si>
    <t>248165 - automatique 100N blanc</t>
  </si>
  <si>
    <t>248166 - automatique 120N blanc</t>
  </si>
  <si>
    <t>284250 - positionnable 60N gris</t>
  </si>
  <si>
    <t>284251 - positionnable 80N gris</t>
  </si>
  <si>
    <t>284252 - positionnable 100N gris</t>
  </si>
  <si>
    <t>284253 - positionnable 120N gris</t>
  </si>
  <si>
    <t>284254 - positionnable 60N blanc</t>
  </si>
  <si>
    <t>284255 - positionnable 80N blanc</t>
  </si>
  <si>
    <t>284256 - positionnable 100N blanc</t>
  </si>
  <si>
    <t>284257 - positionnable 120N blanc</t>
  </si>
  <si>
    <t xml:space="preserve">507355 - 22L3200 - hauteur du caisson = 300 – 339 mm  </t>
  </si>
  <si>
    <t xml:space="preserve">507356 - 22L3500 - hauteur du caisson = 340 – 389 mm  </t>
  </si>
  <si>
    <t xml:space="preserve">507357 - 22L3800 - hauteur du caisson = 390 – 540 mm  </t>
  </si>
  <si>
    <t xml:space="preserve">507358 - 22L3900 - hauteur du caisson = 480 – 580 mm  </t>
  </si>
  <si>
    <t xml:space="preserve">197612 - 21L3200.01 - hauteur du caisson = 300 – 349 mm  </t>
  </si>
  <si>
    <t xml:space="preserve">197613 - 21L3500.01 - hauteur du caisson = 350 – 399 mm  </t>
  </si>
  <si>
    <t xml:space="preserve">197614 - 21L3800.01 - hauteur du caisson = 400 – 550 mm  </t>
  </si>
  <si>
    <t xml:space="preserve">197615 - 21L3900.01 - hauteur du caisson = 450 – 580 mm  </t>
  </si>
  <si>
    <t>Film plastique</t>
  </si>
  <si>
    <t>transparence 67 %</t>
  </si>
  <si>
    <t>Rabais</t>
  </si>
  <si>
    <t xml:space="preserve">92584T - En applique avec ressort et amortisseur   - argenté  </t>
  </si>
  <si>
    <t>%</t>
  </si>
  <si>
    <t xml:space="preserve">118033 - En applique avec ressort et amortisseur   - argenté  </t>
  </si>
  <si>
    <t xml:space="preserve">12106 - En applique avec ressort sans amortisseur   - argenté  </t>
  </si>
  <si>
    <t>306329 - En applique avec ressort sans amortisseur   - onyx</t>
  </si>
  <si>
    <t xml:space="preserve">12109 - En applique tip-on sans ressort / amortisseur   - argenté  </t>
  </si>
  <si>
    <t>497120 - En applique tip-on sans ressort / amortisseur   - onyx</t>
  </si>
  <si>
    <t xml:space="preserve">118120 - semi-applique avec ressort et amortisseur   - argenté  </t>
  </si>
  <si>
    <t xml:space="preserve">12107 - semi-applique avec ressort sans amortisseur   - argenté  </t>
  </si>
  <si>
    <t xml:space="preserve">118121 - rentrant avec ressort et amortisseur   - argenté  </t>
  </si>
  <si>
    <t xml:space="preserve">12108 - rentrant avec ressort sans amortisseur   - argenté  </t>
  </si>
  <si>
    <t xml:space="preserve">300279 - En applique avec ressort et amortisseur   - argenté  </t>
  </si>
  <si>
    <t xml:space="preserve">344697 - En applique avec ressort et amortisseur   - noir  </t>
  </si>
  <si>
    <t xml:space="preserve">300282 - En applique avec ressort sans amortisseur   - argenté  </t>
  </si>
  <si>
    <t xml:space="preserve">300285 - En applique tip-on sans ressort / amortisseur   - argenté  </t>
  </si>
  <si>
    <t xml:space="preserve">300280 - semi-applique avec ressort et amortisseur   - argenté  </t>
  </si>
  <si>
    <t xml:space="preserve">300283 - semi-applique avec ressort sans amortisseur   - argenté  </t>
  </si>
  <si>
    <t xml:space="preserve">300286 - semi-applique tip-on sans ressort / amortisseur   - argenté  </t>
  </si>
  <si>
    <t xml:space="preserve">300281 - rentrant avec ressort et amortisseur   - argenté  </t>
  </si>
  <si>
    <t xml:space="preserve">300284 - rentrant avec ressort sans amortisseur   - argenté  </t>
  </si>
  <si>
    <t xml:space="preserve">300287 - rentrant tip-on sans ressort / amortisseur   - argenté  </t>
  </si>
  <si>
    <t xml:space="preserve">350863 - En applique avec ressort et amortisseur   - argenté  </t>
  </si>
  <si>
    <t xml:space="preserve">350864 - En applique tip-on sans ressort / amortisseur   - argenté  </t>
  </si>
  <si>
    <t xml:space="preserve">12047 - En applique avec ressort et amortisseur   - argenté  </t>
  </si>
  <si>
    <t xml:space="preserve">306317 - En applique avec ressort et amortisseur   - noir  </t>
  </si>
  <si>
    <t xml:space="preserve">12052 - En applique avec ressort sans amortisseur   - argenté  </t>
  </si>
  <si>
    <t xml:space="preserve">226668 - En applique tip-on sans ressort / amortisseur   - argenté  </t>
  </si>
  <si>
    <t>318173 - En applique tip-on sans ressort / amortisseur   - onyx</t>
  </si>
  <si>
    <t xml:space="preserve">12048 - semi-applique avec ressort et amortisseur   - argenté  </t>
  </si>
  <si>
    <t xml:space="preserve">306318 - semi-applique avec ressort et amortisseur   - noir  </t>
  </si>
  <si>
    <t xml:space="preserve">12053 - semi-applique avec ressort sans amortisseur   - argenté  </t>
  </si>
  <si>
    <t xml:space="preserve">226670 - semi-applique tip-on sans ressort / amortisseur   - argenté  </t>
  </si>
  <si>
    <t xml:space="preserve">12049 - rentrant avec ressort et amortisseur   - argenté  </t>
  </si>
  <si>
    <t xml:space="preserve">306319 - rentrant avec ressort et amortisseur   - noir  </t>
  </si>
  <si>
    <t xml:space="preserve">12059 - rentrant avec ressort sans amortisseur   - argenté  </t>
  </si>
  <si>
    <t xml:space="preserve">226671 - rentrant tip-on sans ressort / amortisseur   - argenté  </t>
  </si>
  <si>
    <t xml:space="preserve">104717 - En applique avec ressort et amortisseur   - argenté  </t>
  </si>
  <si>
    <t xml:space="preserve">344691 - En applique avec ressort et amortisseur   - noir  </t>
  </si>
  <si>
    <t xml:space="preserve">232346 - En applique avec ressort sans amortisseur   - argenté  </t>
  </si>
  <si>
    <t xml:space="preserve">245723 - En applique tip-on sans ressort / amortisseur   - argenté  </t>
  </si>
  <si>
    <t xml:space="preserve">344694 - En applique tip-on sans ressort / amortisseur   - noir  </t>
  </si>
  <si>
    <t xml:space="preserve">104718 - semi-applique avec ressort et amortisseur   - argenté  </t>
  </si>
  <si>
    <t xml:space="preserve">344692 - semi-applique avec ressort et amortisseur   - noir  </t>
  </si>
  <si>
    <t xml:space="preserve">232347 - semi-applique avec ressort sans amortisseur   - argenté  </t>
  </si>
  <si>
    <t xml:space="preserve">245724 - semi-applique tip-on sans ressort / amortisseur   - argenté  </t>
  </si>
  <si>
    <t xml:space="preserve">344695 - semi-applique tip-on sans ressort / amortisseur   - noir  </t>
  </si>
  <si>
    <t xml:space="preserve">104719 - rentrant avec ressort et amortisseur   - argenté  </t>
  </si>
  <si>
    <t xml:space="preserve">344693 - rentrant avec ressort et amortisseur   - noir  </t>
  </si>
  <si>
    <t xml:space="preserve">232348 - rentrant avec ressort sans amortisseur   - argenté  </t>
  </si>
  <si>
    <t xml:space="preserve">245725 - rentrant tip-on sans ressort / amortisseur   - argenté  </t>
  </si>
  <si>
    <t xml:space="preserve">344696 - rentrant tip-on sans ressort / amortisseur   - noir  </t>
  </si>
  <si>
    <t xml:space="preserve">92580T - En applique avec ressort et amortisseur   - argenté  </t>
  </si>
  <si>
    <t xml:space="preserve">198818 - En applique avec ressort sans amortisseur   - argenté  </t>
  </si>
  <si>
    <t xml:space="preserve">92581T - semi-applique avec ressort et amortisseur   - argenté  </t>
  </si>
  <si>
    <t xml:space="preserve">198819 - semi-applique avec ressort sans amortisseur   - argenté  </t>
  </si>
  <si>
    <t xml:space="preserve">92582T - rentrant avec ressort et amortisseur   - argenté  </t>
  </si>
  <si>
    <t xml:space="preserve">198820 - rentrant avec ressort sans amortisseur   - argenté  </t>
  </si>
  <si>
    <t xml:space="preserve">350827 - En applique avec ressort et amortisseur   - argenté  </t>
  </si>
  <si>
    <t xml:space="preserve">350834 - En applique avec ressort sans amortisseur   - argenté  </t>
  </si>
  <si>
    <t xml:space="preserve">350837 - En applique tip-on sans ressort / amortisseur   - argenté  </t>
  </si>
  <si>
    <t xml:space="preserve">350828 - semi-applique avec ressort et amortisseur   - argenté  </t>
  </si>
  <si>
    <t xml:space="preserve">350835 - semi-applique avec ressort sans amortisseur   - argenté  </t>
  </si>
  <si>
    <t xml:space="preserve">350838 - semi-applique tip-on sans ressort / amortisseur   - argenté  </t>
  </si>
  <si>
    <t xml:space="preserve">350829 - rentrant avec ressort et amortisseur   - argenté  </t>
  </si>
  <si>
    <t xml:space="preserve">350836 - rentrant avec ressort sans amortisseur   - argenté  </t>
  </si>
  <si>
    <t xml:space="preserve">350839 - rentrant tip-on sans ressort / amortisseur   - argenté  </t>
  </si>
  <si>
    <t>avec amortisseur</t>
  </si>
  <si>
    <t>charnière de corps</t>
  </si>
  <si>
    <t>inférieure</t>
  </si>
  <si>
    <t>Étroit</t>
  </si>
  <si>
    <t>Large</t>
  </si>
  <si>
    <t>_Úzký_StrongLift_haut</t>
  </si>
  <si>
    <t>_Široký_StrongLift_haut</t>
  </si>
  <si>
    <t>_Široký_inférieure_K12</t>
  </si>
  <si>
    <t>_Úzký_inférieure_K12</t>
  </si>
  <si>
    <t>_Úzký_inférieure_kraby</t>
  </si>
  <si>
    <t>_Široký_inférieure_kraby</t>
  </si>
  <si>
    <t>_Úzký_StrongLift_bas</t>
  </si>
  <si>
    <t>_Široký_StrongLift_bas</t>
  </si>
  <si>
    <t>inférieure_K12</t>
  </si>
  <si>
    <t>inférieure_kraby</t>
  </si>
  <si>
    <t>hettich inférieure 300282</t>
  </si>
  <si>
    <t>hettich amortisseur 300279</t>
  </si>
  <si>
    <t>hettich amortisseur 104717</t>
  </si>
  <si>
    <t>blum inférieure 12106</t>
  </si>
  <si>
    <t>hettich inférieure 232346</t>
  </si>
  <si>
    <t>strong inférieure 350863</t>
  </si>
  <si>
    <t>blum inférieure 12052</t>
  </si>
  <si>
    <t>blum amortisseur 12047</t>
  </si>
  <si>
    <t>strong inférieure 350834</t>
  </si>
  <si>
    <t>strong amortisseur 350863</t>
  </si>
  <si>
    <t>strong amortisseur 92584T</t>
  </si>
  <si>
    <t>strong amortisseur 350827</t>
  </si>
  <si>
    <t>StrongLift_haut</t>
  </si>
  <si>
    <t>StrongLift_bas</t>
  </si>
  <si>
    <t>bottom_K12</t>
  </si>
  <si>
    <t>_Úzký_StrongLift_upper</t>
  </si>
  <si>
    <t>_Široký_StrongLift_upper</t>
  </si>
  <si>
    <t>_Úzký_StrongLift_bottom</t>
  </si>
  <si>
    <t>_Široký_StrongLift_bottom</t>
  </si>
  <si>
    <t>_Úzký_bottom_kraby</t>
  </si>
  <si>
    <t>_Široký_bottom_kraby</t>
  </si>
  <si>
    <t>_Úzký_bottom_K12</t>
  </si>
  <si>
    <t>_Široký_bottom_K12</t>
  </si>
  <si>
    <t>StrongLift gorny</t>
  </si>
  <si>
    <t>StrongLift dolny</t>
  </si>
  <si>
    <t>supérieure</t>
  </si>
  <si>
    <t>dolny Kraby</t>
  </si>
  <si>
    <t>dolny K12</t>
  </si>
  <si>
    <t>dolný_K12</t>
  </si>
  <si>
    <t>dolný_kraby</t>
  </si>
  <si>
    <t>_Úzký_StrongLift_horný</t>
  </si>
  <si>
    <t>_Široký_StrongLift_horný</t>
  </si>
  <si>
    <t>_Úzký_StrongLift_spodný</t>
  </si>
  <si>
    <t>_Široký_StrongLift_spodný</t>
  </si>
  <si>
    <t>_Úzký_dolný_kraby</t>
  </si>
  <si>
    <t>_Široký_dolný_kraby</t>
  </si>
  <si>
    <t>_Úzký_dolný_K12</t>
  </si>
  <si>
    <t>_Široký_dolný_K12</t>
  </si>
  <si>
    <t>hettich spodný 300282</t>
  </si>
  <si>
    <t>blum spodný 12106</t>
  </si>
  <si>
    <t>hettich spodný 232346</t>
  </si>
  <si>
    <t>blum spodný 12052</t>
  </si>
  <si>
    <t>strong spodný 350834</t>
  </si>
  <si>
    <t>dolny_Kraby</t>
  </si>
  <si>
    <t>dolny_K12</t>
  </si>
  <si>
    <t>alsó_Kraby</t>
  </si>
  <si>
    <t>FR</t>
  </si>
  <si>
    <t>La couleur du profilé et du maillage peut varier en raison des tolérances du processus de production.</t>
  </si>
  <si>
    <t>Asti</t>
  </si>
  <si>
    <t>Roma</t>
  </si>
  <si>
    <t>Type de verre / de toile</t>
  </si>
  <si>
    <t>Clipà eurovis H2</t>
  </si>
  <si>
    <t>Intermatsemi-applique</t>
  </si>
  <si>
    <t>STRONG inférieur blanc</t>
  </si>
  <si>
    <t>STRONG supérieur gris</t>
  </si>
  <si>
    <t>KRABY 164 inférieur</t>
  </si>
  <si>
    <t>KRABY 244 inférieur</t>
  </si>
  <si>
    <t>KRABY 355 inférieur</t>
  </si>
  <si>
    <t>STRONG inférieur gris</t>
  </si>
  <si>
    <t>pour montage sur vis H0</t>
  </si>
  <si>
    <t>pour montage Eurovis H0</t>
  </si>
  <si>
    <t>pour montage sur vis H2</t>
  </si>
  <si>
    <t>pour montage Eurovis H2</t>
  </si>
  <si>
    <t>Clip pour vis H2</t>
  </si>
  <si>
    <t>Clip vis avec excentrique H0</t>
  </si>
  <si>
    <t>Clip pour vis H0</t>
  </si>
  <si>
    <t>Sensys SiSy appliquée</t>
  </si>
  <si>
    <t>Sensys SiSy semi-appliquée</t>
  </si>
  <si>
    <t>Sensys SiSy encastrée</t>
  </si>
  <si>
    <t>Sensys P2O appliquée</t>
  </si>
  <si>
    <t>Sensys P2O semi-appliquée</t>
  </si>
  <si>
    <t>Sensys P2O encastrée</t>
  </si>
  <si>
    <t>StrongHinges S3 charnière appliquée clip sans ressort</t>
  </si>
  <si>
    <t>StrongHinges charnière insérée clip sans ressort</t>
  </si>
  <si>
    <t>StrongHinges S3 charnière 30° clip sans ressort</t>
  </si>
  <si>
    <t>StrongHinges S3 charnière appliquée clip</t>
  </si>
  <si>
    <t>StrongHinges S3 charnière semi-appliquée clip</t>
  </si>
  <si>
    <t>StrongHinges S3 charnière insérée clip</t>
  </si>
  <si>
    <t>StrongHinges S3 charnière 30° clip</t>
  </si>
  <si>
    <t>StrongHinges S3 charnière clip vis avec excentrique H0</t>
  </si>
  <si>
    <t>La vue des cloisons est uniquement illustrative et n’affiche pas le nombre choisi de cloisons horizontales / verticales.</t>
  </si>
  <si>
    <t>Avertissement</t>
  </si>
  <si>
    <t>Retour</t>
  </si>
  <si>
    <t>La distance standard des charnières par rapport au bord est réglée à 100 mm (minimum 80 mm). Si vous souhaitez modifier l'entraxe entre les charnières, veuillez l'indiquer dans la remarque (en mm).</t>
  </si>
  <si>
    <t>Veuillez préciser dans les cellules vertes la distance de perçage du support par rapport au bord du cadre.Si vous souhaitez un perçage centré sur le cadre et le profilé, veuillez inscrire "x" dans les cellules vertes.</t>
  </si>
  <si>
    <t>Avec des charnières, la dimension maximale est</t>
  </si>
  <si>
    <t>Varna noir – longueur maximale recommandée par le fabricant : 1200 mm</t>
  </si>
  <si>
    <t>Rocca noir – longueur maximale : 2150 mm
Varna noir – longueur maximale : 1200 mm</t>
  </si>
  <si>
    <t>Commande de verre</t>
  </si>
  <si>
    <t>avec ressort et amortisseur</t>
  </si>
  <si>
    <t>avec ressort sans amortisseur</t>
  </si>
  <si>
    <t>tip-on sans ressort / amortisseur</t>
  </si>
  <si>
    <t>argenté</t>
  </si>
  <si>
    <t>noir</t>
  </si>
  <si>
    <t>275689 - inférieur 80N gris</t>
  </si>
  <si>
    <t>248167 - inférieur 80N blanc</t>
  </si>
  <si>
    <t>507355 - 22L3200 - hauteur du caisson = 300 – 339 mm</t>
  </si>
  <si>
    <t>507356 - 22L3500 - hauteur du caisson = 340 – 389 mm</t>
  </si>
  <si>
    <t>507357 - 22L3800 - hauteur du caisson = 390 – 540 mm</t>
  </si>
  <si>
    <t>507358 - 22L3900 - hauteur du caisson = 480 – 580 mm</t>
  </si>
  <si>
    <t>Servo :</t>
  </si>
  <si>
    <t>197612 - 21L3200.01 - hauteur du caisson = 300 – 349 mm</t>
  </si>
  <si>
    <t>197613 - 21L3500.01 - hauteur du caisson = 350 – 399 mm</t>
  </si>
  <si>
    <t>197614 - 21L3800.01 - hauteur du caisson = 400 – 550 mm</t>
  </si>
  <si>
    <t>197615 - 21L3900.01 - hauteur du caisson = 450 – 580 mm</t>
  </si>
  <si>
    <t>Veuillez préciser dans les cellules vertes la distance de perçage de la poignée par rapport au bord extérieur du cadre.</t>
  </si>
  <si>
    <t>Combinaison invalide</t>
  </si>
  <si>
    <t>croix vis</t>
  </si>
  <si>
    <t>croix vis (excentrique)</t>
  </si>
  <si>
    <t>croix euro</t>
  </si>
  <si>
    <t>croix cheville</t>
  </si>
  <si>
    <t>droite vis</t>
  </si>
  <si>
    <t>droite euro</t>
  </si>
  <si>
    <t>droite cheville</t>
  </si>
  <si>
    <t>longueur max. 2150 mm</t>
  </si>
  <si>
    <t>Distance par rapport au bord inférieur</t>
  </si>
  <si>
    <t>Distance par rapport au bord supérieur</t>
  </si>
  <si>
    <t>Sans modifications</t>
  </si>
  <si>
    <t>Trempé (délai de livraison 4 semaines)</t>
  </si>
  <si>
    <t>Les cadres sans verre sont livrés en kit (à monter).</t>
  </si>
  <si>
    <t>La dimension maximale recommandée est de 1500x600 mm. En cas de commande avec des dimensions supérieures, le verre peut sortir du profilé. Le fabricant ne prend pas en charge les réclamations dans ce cas.</t>
  </si>
  <si>
    <t>520405 SALICE AIR SOFT charnière nickel angle d'ouverture 92° set de 2 pcs</t>
  </si>
  <si>
    <t>520406 SALICE AIR PUSH TO OPEN charnière nickel avec adaptateur set de 2 pcs</t>
  </si>
  <si>
    <t>520407 SALICE AIR PUSH TO OPEN charnière nickel avec adaptateur set de 2 pcs</t>
  </si>
  <si>
    <t>520408 SALICE AIR SOFT charnière nickel avec adaptateur set de 2 pcs</t>
  </si>
  <si>
    <t>520410 SALICE AIR SOFT TITANIUM charnière angle d'ouverture 92° set de 2 pcs</t>
  </si>
  <si>
    <t>520411 SALICE AIR TITANIUM PUSH TO OPEN charnière set de 2 pcs</t>
  </si>
  <si>
    <t>520412 SALICE AIR TITANIUM PUSH TO OPEN charnière avec adaptateur set de 2 pcs</t>
  </si>
  <si>
    <t>520413 SALICE AIR SOFT TITANIUM charnière avec adaptateur set de 2 pcs</t>
  </si>
  <si>
    <t>dimensions maximales 1000x500 mm</t>
  </si>
  <si>
    <t>Type de toile</t>
  </si>
  <si>
    <t>La variante semi-appliquée et insérée n’existe pas</t>
  </si>
  <si>
    <t>Polissage des bords</t>
  </si>
  <si>
    <t>Dimensions du verre dépassées</t>
  </si>
  <si>
    <t>transparence 50 %</t>
  </si>
  <si>
    <t>Conditions et recommandations pour une commande correcte des cadres en aluminium</t>
  </si>
  <si>
    <t>Recommandations générales :</t>
  </si>
  <si>
    <t>Lors du remplissage du formulaire, procédez toujours de haut en bas.</t>
  </si>
  <si>
    <t>Si vous effectuez une modification rétrospective, il est nécessaire de ressaisir les éléments en dessous de ce changement.</t>
  </si>
  <si>
    <t>Avant d’envoyer la commande, vérifiez que le formulaire ne contient que les cadres souhaités.</t>
  </si>
  <si>
    <t>Le délai de livraison standard est de trois semaines maximum. Pour toute précision concernant le délai, veuillez contacter le Service Client.</t>
  </si>
  <si>
    <t>Informations pratiques :</t>
  </si>
  <si>
    <t>Pour des cadres de plus de 2500 mm, nous recommandons d’utiliser des traverses afin d’éviter la déformation du profilé ou le délogement du verre.</t>
  </si>
  <si>
    <t>Pour les cadres de grande taille (supérieurs à 1200 x 800 mm), un supplément pour emballage et transport spécial peut être appliqué (plus d’informations auprès du Service Client).</t>
  </si>
  <si>
    <t>La toile dans le cadre est orientée horizontalement par défaut. Si vous souhaitez une orientation verticale des ouvertures de la toile, merci de le préciser dans la remarque.</t>
  </si>
  <si>
    <t>Je confirme avoir compris et accepté les conditions et recommandations ci-dessus.</t>
  </si>
  <si>
    <t>La dimension choisie du cadre ne correspond pas aux dimensions maximales du verre ou du profilé</t>
  </si>
  <si>
    <t>Prix</t>
  </si>
  <si>
    <t>Prix de la quincaillerie et des profilés</t>
  </si>
  <si>
    <t>Již neměnit po tom co vyberete typ skla/síťky</t>
  </si>
  <si>
    <t>Už nemeniť po tom čo vyberiete typ skla/sieťky</t>
  </si>
  <si>
    <t>Nie zmieniaj po wybraniu rodzaj szkła/siatka</t>
  </si>
  <si>
    <t>A kiválasztás után ne változtasson üveg/hálós típus</t>
  </si>
  <si>
    <t>Do not change after you make a choice type of glass/mesh</t>
  </si>
  <si>
    <t>Ne pas modifier après votre sélection type de verre / de toile</t>
  </si>
  <si>
    <t>Hálós keretkitöltő</t>
  </si>
  <si>
    <t>Mesh frame filler</t>
  </si>
  <si>
    <t>Remplissage du cadre toile</t>
  </si>
  <si>
    <t>_kombo_Blum_Polonaložený</t>
  </si>
  <si>
    <t>StrongHingesS53</t>
  </si>
  <si>
    <t>StrongHingesS33</t>
  </si>
  <si>
    <t>blum avec amortisseur 118033</t>
  </si>
  <si>
    <t>blum avec amortisseur 12047</t>
  </si>
  <si>
    <t>hettich avec amortisseur 300279</t>
  </si>
  <si>
    <t>strong avec amortisseur 350863</t>
  </si>
  <si>
    <t>strong avec amortisseur 92584T</t>
  </si>
  <si>
    <t>hettich avec amortisseur 104717</t>
  </si>
  <si>
    <t>strong avec amortisseur 350827</t>
  </si>
  <si>
    <t>hettich supérieure 300279</t>
  </si>
  <si>
    <t>strong supérieure 350863</t>
  </si>
  <si>
    <t>strong supérieure 92584T</t>
  </si>
  <si>
    <t>hettich supérieure 104717</t>
  </si>
  <si>
    <t>blum supérieure 12047</t>
  </si>
  <si>
    <t>strong supérieure 350827</t>
  </si>
  <si>
    <t>hettich z z tłumieniem 104717</t>
  </si>
  <si>
    <t>hettich z z tłumieniem 300279</t>
  </si>
  <si>
    <t>blum z z tłumieniem 12047</t>
  </si>
  <si>
    <t>strong z z tłumieniem 350827</t>
  </si>
  <si>
    <t>strong z z tłumieniem 92584T</t>
  </si>
  <si>
    <t>blum z tłumieniem 118033 / 71B950A</t>
  </si>
  <si>
    <t>blum z tłumieniem 12047 / 71B3550</t>
  </si>
  <si>
    <t>blum z z tłumieniem 118033</t>
  </si>
  <si>
    <t>Hettich z tłumieniem</t>
  </si>
  <si>
    <t>Hettich z tłumieniem 300279</t>
  </si>
  <si>
    <t>Strong z tłumieniem 350863</t>
  </si>
  <si>
    <t>Strong z tłumieniem 92584T</t>
  </si>
  <si>
    <t>Hettich z tłumieniem 104717</t>
  </si>
  <si>
    <t>Strong z tłumieniem 350827</t>
  </si>
  <si>
    <t>strong z tlumieniem 350863</t>
  </si>
  <si>
    <t>strong z tlumieniem 92584T</t>
  </si>
  <si>
    <t>blum z tlumieniem 12047</t>
  </si>
  <si>
    <t>strong z tlumieniem 350827</t>
  </si>
  <si>
    <t>max 3 sztuki frontów</t>
  </si>
  <si>
    <t>max 2 sztuki frontów</t>
  </si>
  <si>
    <t>max 20 sztuki frontów</t>
  </si>
  <si>
    <t>w 1 paczce może być</t>
  </si>
  <si>
    <t>Pakowane w paczke</t>
  </si>
  <si>
    <t>rozměry</t>
  </si>
  <si>
    <t>celkem rámečků</t>
  </si>
  <si>
    <t>cena za dopravu</t>
  </si>
  <si>
    <t>balík A</t>
  </si>
  <si>
    <t>balík B</t>
  </si>
  <si>
    <t>paleta A</t>
  </si>
  <si>
    <t>paleta B</t>
  </si>
  <si>
    <t>celkem</t>
  </si>
  <si>
    <t>max počet v balíku</t>
  </si>
  <si>
    <t>možnosti, do čeho lze zabalit</t>
  </si>
  <si>
    <t>skutečnost MAX</t>
  </si>
  <si>
    <t>skutečnost MIN</t>
  </si>
  <si>
    <t>nejmenší možné balení</t>
  </si>
  <si>
    <t>počet ks</t>
  </si>
  <si>
    <t>šířka/výška</t>
  </si>
  <si>
    <t>RAM1</t>
  </si>
  <si>
    <t>RAM2</t>
  </si>
  <si>
    <t>RAM3</t>
  </si>
  <si>
    <t>RAM4</t>
  </si>
  <si>
    <t>RAM5</t>
  </si>
  <si>
    <t>RAM6</t>
  </si>
  <si>
    <t xml:space="preserve">celkem rámečků indiv. </t>
  </si>
  <si>
    <t>počet balíků indiv.</t>
  </si>
  <si>
    <t>celkem rámečků spolu</t>
  </si>
  <si>
    <t>počet balíků/palet</t>
  </si>
  <si>
    <t>počt balíků v kombinaci</t>
  </si>
  <si>
    <t>počt balíků bez kombinace</t>
  </si>
  <si>
    <t>zbytek rámečků</t>
  </si>
  <si>
    <t>volné místo</t>
  </si>
  <si>
    <t>celkem rámečků spolu B</t>
  </si>
  <si>
    <t>nejnižší cena</t>
  </si>
  <si>
    <t>ks</t>
  </si>
  <si>
    <t>Aby uzyskać informacje o kosztach wysyłki dla zamówień powyżej 20 ramek, skontaktuj się z obsługą klienta:</t>
  </si>
  <si>
    <t>tubus A</t>
  </si>
  <si>
    <t>tubus B</t>
  </si>
  <si>
    <t>do 800 x 800 mm</t>
  </si>
  <si>
    <t>balík 800x800</t>
  </si>
  <si>
    <t>max 12 sztuki ramek</t>
  </si>
  <si>
    <t>max 6 sztuki ramek</t>
  </si>
  <si>
    <t>MAX</t>
  </si>
  <si>
    <t>celkový počet</t>
  </si>
  <si>
    <t>1. optimalizace</t>
  </si>
  <si>
    <t>Start počet bal</t>
  </si>
  <si>
    <t>počet balení</t>
  </si>
  <si>
    <t>cena celkem</t>
  </si>
  <si>
    <t>Przy dostawie na adres w jednym zamówieniu nie można łączyć ramki ze szkłem i bez szkła.</t>
  </si>
  <si>
    <t>sklo = 1 / bez skla = 2</t>
  </si>
  <si>
    <t>doprava se sklem</t>
  </si>
  <si>
    <t>doprava bez skla</t>
  </si>
  <si>
    <t>ve formuláři jsou rámečky se sklem i bez - chyba</t>
  </si>
  <si>
    <t>dostawa niemożliwa</t>
  </si>
  <si>
    <t>Wysyłka powyżej 20 ramek -&gt; skontaktuj się z obsługą klienta: tel: 327908582, email: zamowienia@demos-trade.com</t>
  </si>
  <si>
    <t>zbyt duże wymiary</t>
  </si>
  <si>
    <t>zbyt duże wymiary, których nie można wysłać kurierem</t>
  </si>
  <si>
    <t>wycena indiwidualna</t>
  </si>
  <si>
    <t>Max</t>
  </si>
  <si>
    <t>Min</t>
  </si>
  <si>
    <t>Možné balení</t>
  </si>
  <si>
    <t>nejmenší balík</t>
  </si>
  <si>
    <t>počet balíků</t>
  </si>
  <si>
    <t>počet rámečků pro optimalizaci</t>
  </si>
  <si>
    <t>součet rámečků</t>
  </si>
  <si>
    <t>Optimalizace palet</t>
  </si>
  <si>
    <t>1. scénář - jen balíky</t>
  </si>
  <si>
    <t>Final optimalizace palet</t>
  </si>
  <si>
    <t>Optimalizace palet a balíků</t>
  </si>
  <si>
    <t>Final optimalizace balíků</t>
  </si>
  <si>
    <t>Final optimalizace palet a balíků</t>
  </si>
  <si>
    <t>Final cena smont</t>
  </si>
  <si>
    <t>optimalizace</t>
  </si>
  <si>
    <t>Při převzetí zásilky je kupující povinen zboží zkontrolovat a případné zjevné přepravní poškození ihned zapsat s kurýrem do protokolu, jinak může být taková reklamace zamítnuta.</t>
  </si>
  <si>
    <t>Pri prevzatí zásielky je kupujúci povinný tovar skontrolovať a prípadné zjavné prepravné poškodenie ihned zapísať s kuriérom do protokolu, inak môže byť takáto reklamácia zamietnutá.</t>
  </si>
  <si>
    <t>A küldemény átvételekor a vevő köteles a terméket ellenőrizni, és az esetleges nyilvánvaló szállítási sérüléseket azonnal jegyzőkönyvbe foglalni a futárral, ellenkező esetben az ilyen reklamáció elutasítható.</t>
  </si>
  <si>
    <t>Przy odbiorze przesyłki kupujący powinien sprawdzić towar i w przypadku stwierdzenia widocznych uszkodzeń transportowych niezwłocznie zgłosić je kurierowi, spisując protokół. W przeciwnym razie reklamacja może zostać odrzucona.</t>
  </si>
  <si>
    <t>When taking over the delivery, the buyer is obliged to check the goods and record any obvious transport damage in the protocol together with the courier; otherwise, such a claim may be rejected.</t>
  </si>
  <si>
    <t>À réception de la marchandise, l'acheteur est tenu de vérifier les marchandises et de consigner immédiatement tout dommage apparent dû au transport dans le procès-verbal établi avec le transporteur, faute de quoi toute réclamation pourra être rejetée.</t>
  </si>
  <si>
    <t>Vzdálenost od levého okraje</t>
  </si>
  <si>
    <t>Vzdialenosť od ľavého kraja</t>
  </si>
  <si>
    <t>Odległość od lewej krawędzi</t>
  </si>
  <si>
    <t>A távolsága a bal peremtől</t>
  </si>
  <si>
    <t>Distance from the left edge</t>
  </si>
  <si>
    <t>Distance du bord gauche</t>
  </si>
  <si>
    <t>35,00 zł</t>
  </si>
  <si>
    <t>do 1400 mm</t>
  </si>
  <si>
    <t>1401 - 2850 mm</t>
  </si>
  <si>
    <t>288,00 zł</t>
  </si>
  <si>
    <t>332,00 zł</t>
  </si>
  <si>
    <t>balík 1400x800</t>
  </si>
  <si>
    <t>71,00 zł</t>
  </si>
  <si>
    <t>do 1400 x 800 mm</t>
  </si>
  <si>
    <t>počet balíků po optimalizaci</t>
  </si>
  <si>
    <t>do 2300 x 750 mm</t>
  </si>
  <si>
    <t>do  2750 x 750 mm</t>
  </si>
  <si>
    <t>max</t>
  </si>
  <si>
    <t>min</t>
  </si>
  <si>
    <t>cena odpovídající rozměru</t>
  </si>
  <si>
    <t>strong spodní 92584tT</t>
  </si>
  <si>
    <t>strong spodní 92584T</t>
  </si>
  <si>
    <t>strong dolny 92584T</t>
  </si>
  <si>
    <t>strong alsó 92584T</t>
  </si>
  <si>
    <t>strong inférieure 92584T</t>
  </si>
  <si>
    <t>strong bottom 92584T</t>
  </si>
  <si>
    <t>strong spodný 92584T</t>
  </si>
  <si>
    <t>Modena hnědá - maximální doporučená délka profilu 2500 mm</t>
  </si>
  <si>
    <t>Modena hnědá - maximálna odporúčaná dĺžka profilu 2500 mm</t>
  </si>
  <si>
    <t>Modena brąz - maksymalna zalecana długość profilu 2500 mm</t>
  </si>
  <si>
    <t>Modena barna - maximális ajánlott profilhosszúság 2500 mm</t>
  </si>
  <si>
    <t>Modena brown - maximum profile length 2500 mm</t>
  </si>
  <si>
    <t>Modena marron - longueur maximale recommandée du profil 2500 mm</t>
  </si>
  <si>
    <t>Verona Ivory mat - maximální doporučená délka profilu 2150 mm</t>
  </si>
  <si>
    <t>Verona Ivory mat - maximálna odporúčaná dĺžka profilu 2150 mm</t>
  </si>
  <si>
    <t>Verona Ivory mat - maksymalna zalecana zalecana długość profilu 2150 mm</t>
  </si>
  <si>
    <t>Verona Ivory mat - maximális ajánlott profilhosszúság 2150 mm</t>
  </si>
  <si>
    <t>Verona Ivory mat - maximum profile length 2150 mm</t>
  </si>
  <si>
    <t>BRW kašmír - maximální doporučená délka profilu 2500 mm</t>
  </si>
  <si>
    <t>BRW kaszmirowy - maksymalna zalecana długość profilu 2500 mm</t>
  </si>
  <si>
    <t>BRW kašmír - maximálna odporúčaná dĺžka profilu 2500 mm</t>
  </si>
  <si>
    <t>BRW kasmír - maximális ajánlott profilhosszúság 2500 mm</t>
  </si>
  <si>
    <t>BRW cashmere - maximum profile length 2500 mm</t>
  </si>
  <si>
    <t>BRW cachemire - longueur maximale recommandée du profil 2500 mm</t>
  </si>
  <si>
    <t>Verona kašmír - maximální doporučená délka profilu 2150 mm</t>
  </si>
  <si>
    <t>Verona kašmír - maximálna odporúčaná dĺžka profilu 2150 mm</t>
  </si>
  <si>
    <t>Verona kaszmirowy - maksymalna zalecana długość profilu 2150 mm</t>
  </si>
  <si>
    <t>Verona kasmír - maximális ajánlott profilhosszúság 2150 mm</t>
  </si>
  <si>
    <t>Verona cashmere - maximum profile length 2150 mm</t>
  </si>
  <si>
    <t>Verona cachemire - longueur maximale recommandée du profil 2150 mm</t>
  </si>
  <si>
    <t>Modena brąz</t>
  </si>
  <si>
    <t>BRW kaszmirowy</t>
  </si>
  <si>
    <t>Verona kaszmirowy</t>
  </si>
  <si>
    <t>TREVISO</t>
  </si>
  <si>
    <t>Treviso černá mat - maximální doporučená délka profilu 2750 mm</t>
  </si>
  <si>
    <t>Treviso fekete matt - maximális ajánlott profilhosszúság 2750 mm</t>
  </si>
  <si>
    <t>Treviso black matt - maximum profile length 2750 mm</t>
  </si>
  <si>
    <t>Treviso noir mat - longueur maximale recommandée du profil 2750 mm</t>
  </si>
  <si>
    <t>Treviso czarny matowy - maksymalna zalecana długość profilu 2750 mm</t>
  </si>
  <si>
    <t>BRW tmavá nerez br. (INOX LIJA) - maximální doporučená délka profilu 2500 mm</t>
  </si>
  <si>
    <t>BRW tmavá nerez brúsená (INOX LIJA) - maximálna odporúčaná dĺžka profilu 2500 mm</t>
  </si>
  <si>
    <t>BRW INOX LIJA - maksymalna zalecana długość profilu 2500 mm</t>
  </si>
  <si>
    <t>BRW nemesacél csiszolt (INOX LIJA) - maximális ajánlott profilhosszúság 2500 mm</t>
  </si>
  <si>
    <t>BRW dark stainless steel (INOX LIJA)- maximum profile length 2500 mm</t>
  </si>
  <si>
    <t>BRW inox foncé brossé (INOX LIJA) - longueur maximale recommandée du profil 2500 mm</t>
  </si>
  <si>
    <t>Verona Acier Gratta</t>
  </si>
  <si>
    <t>BRW světlá nerez (INOX ACIER gratta) - maximální doporučená délka profilu 2500 mm</t>
  </si>
  <si>
    <t>BRW svetlá nerez (INOX ACIER gratta)- maximálna odporúčaná dĺžka profilu 2500 mm</t>
  </si>
  <si>
    <t>BRW INOX ACIER gratta - maksymalna zalecana długość profilu 2500 mm</t>
  </si>
  <si>
    <t>BRW nemesacél INOX ACIER gratta - maximális ajánlott profilhosszúság 2500 mm</t>
  </si>
  <si>
    <t>BRW Light Stainless Steel (INOX ACIER gratta) - maximum profile length 2500 mm</t>
  </si>
  <si>
    <t>BRW inox clair (INOX ACIER gratta) - longueur maximale recommandée du profil 2500 mm</t>
  </si>
  <si>
    <t>Verona světlá nerez (Acier gratta) - maximální doporučená délka profilu 2500 mm</t>
  </si>
  <si>
    <t>Verona light stainless steel (Acier gratta) - maximum profile length 2500 mm</t>
  </si>
  <si>
    <t>Verona inox clair (Acier gratta) - longueur maximale recommandée du profil 2500 mm</t>
  </si>
  <si>
    <t>BRW INOX LIJA</t>
  </si>
  <si>
    <t>Modena INOX LIJA</t>
  </si>
  <si>
    <t>Vivaro INOX LIJA</t>
  </si>
  <si>
    <t>BRW antracyt RAL 7021</t>
  </si>
  <si>
    <t>BRW bialy matowy RAL 9003</t>
  </si>
  <si>
    <t>BRW brąz</t>
  </si>
  <si>
    <t>BRW szczotkowany</t>
  </si>
  <si>
    <t>BRW Czarny matowy</t>
  </si>
  <si>
    <t>BRW czarna szczotka</t>
  </si>
  <si>
    <t>Modena INOX LIJA - maksymalna zalecana długość profilu 2500 mm</t>
  </si>
  <si>
    <t>Verona Acier Gratta - maksymalna zalecana zalecana długość profilu 2500 mm</t>
  </si>
  <si>
    <t>Verona nemesacél csiszolt Acier gratta - maximális ajánlott profilhosszúság 2500 mm</t>
  </si>
  <si>
    <t>Vivaro INOX LIJA - maksymalna zalecana zalecana długość profilu 2500 mm</t>
  </si>
  <si>
    <t>Modena nemesacél csiszolt INOX LIJA - maximális ajánlott profilhosszúság 2500 mm</t>
  </si>
  <si>
    <t>Vivaro nemesacél csiszolt INOX LIJA - maximális ajánlott profilhosszúság 2500 mm</t>
  </si>
  <si>
    <t>Rimini elox - max délka profilu 1100 mm</t>
  </si>
  <si>
    <t>Rimini černý mat - max délka profilu 1100 mm</t>
  </si>
  <si>
    <t>Rimini champagne - max délka profilu 1100 mm</t>
  </si>
  <si>
    <t>Rimini elox - maximálna dĺžka profilu 1100 mm</t>
  </si>
  <si>
    <t>Treviso čierna mat - maximálna odporúčaná dĺžka profilu 2750 mm</t>
  </si>
  <si>
    <t>Rimini  čierna mat - maximálna dĺžka profilu 1100 mm</t>
  </si>
  <si>
    <t>Rimini champagne - maximálna dĺžka profilu 1100 mm</t>
  </si>
  <si>
    <t>Rimini elox naturalna - maksymalna długość profilu 1100 mm</t>
  </si>
  <si>
    <t>Rimini czarny mat - maksymalna długość profilu 1100 mm</t>
  </si>
  <si>
    <t>Rimini champagne - maksymalna długość profilu 1100 mm</t>
  </si>
  <si>
    <t>Rimini elox - maximális profilhosszúság 1100 mm</t>
  </si>
  <si>
    <t>Rimini champagne - maximális profilhosszúság 1100 mm</t>
  </si>
  <si>
    <t>Rimini natural - maximum profile length 1100 mm</t>
  </si>
  <si>
    <t>Rimini fekete matt - maximális profilhosszúság 1100 mm</t>
  </si>
  <si>
    <t>Rimini black matt - maximum profile length 1100 mm</t>
  </si>
  <si>
    <t>Rimini champagne - maximum profile length 1100 mm</t>
  </si>
  <si>
    <t>Rimini elox - longueur maximale du profil 1100 mm</t>
  </si>
  <si>
    <t>Rimini noir - longueur maximale du profil 1100 mm</t>
  </si>
  <si>
    <t>Rimini champagne - longueur maximale du profil 1100 mm</t>
  </si>
  <si>
    <t>Rimini zlatá - max délka profilu 1100 mm</t>
  </si>
  <si>
    <t>Rimini zlatá broušená - max délka profilu 1100 mm</t>
  </si>
  <si>
    <t>Rimini zlatá - maximálna dĺžka profilu 1100 mm</t>
  </si>
  <si>
    <t>Rimini zlatá brúsená - maximálna dĺžka profilu 1100 mm</t>
  </si>
  <si>
    <t>Rimini zlota - maksymalna długość profilu 1100 mm</t>
  </si>
  <si>
    <t>Rimini zlota szczotkowana - maksymalna długość profilu 1100 mm</t>
  </si>
  <si>
    <t>Rimini  arany csiszolt - maximális profilhosszúság 1100 mm</t>
  </si>
  <si>
    <t>Rimini  arany - maximális profilhosszúság 1100 mm</t>
  </si>
  <si>
    <t>Rimini gold - maximum profile length 1100 mm</t>
  </si>
  <si>
    <t>Rimini gold brushed - maximum profile length 1100 mm</t>
  </si>
  <si>
    <t>Rimini  doré brossé - longueur maximale du profil 1100 mm</t>
  </si>
  <si>
    <t>Rimini  doré - longueur maximale du profil 1100 mm</t>
  </si>
  <si>
    <t>max. rozměr 1100x500mm</t>
  </si>
  <si>
    <t>max. rozmer 1100x500mm</t>
  </si>
  <si>
    <t>maks. wymiar 1100x500mm</t>
  </si>
  <si>
    <t>dimensions maximales 1100x500 mm</t>
  </si>
  <si>
    <t>max. méret 1100x500</t>
  </si>
  <si>
    <t>max. dimension 1100x500</t>
  </si>
  <si>
    <t xml:space="preserve">  280,52    </t>
  </si>
  <si>
    <t xml:space="preserve">  170,53    </t>
  </si>
  <si>
    <t xml:space="preserve">          9,95    </t>
  </si>
  <si>
    <t xml:space="preserve">    6,07    </t>
  </si>
  <si>
    <t xml:space="preserve">  36,21    </t>
  </si>
  <si>
    <t xml:space="preserve">  24,75    </t>
  </si>
  <si>
    <t xml:space="preserve">  3 416,39    </t>
  </si>
  <si>
    <t xml:space="preserve">  2 215,16    </t>
  </si>
  <si>
    <t xml:space="preserve">  523,69    </t>
  </si>
  <si>
    <t xml:space="preserve">        18,58    </t>
  </si>
  <si>
    <t xml:space="preserve">  67,59    </t>
  </si>
  <si>
    <t xml:space="preserve">  6 377,94    </t>
  </si>
  <si>
    <t xml:space="preserve">  496,61    </t>
  </si>
  <si>
    <t xml:space="preserve">        17,62    </t>
  </si>
  <si>
    <t xml:space="preserve">  64,09    </t>
  </si>
  <si>
    <t xml:space="preserve">  6 048,07    </t>
  </si>
  <si>
    <t xml:space="preserve">  569,27    </t>
  </si>
  <si>
    <t xml:space="preserve">        20,20    </t>
  </si>
  <si>
    <t xml:space="preserve">  73,47    </t>
  </si>
  <si>
    <t xml:space="preserve">  6 933,05    </t>
  </si>
  <si>
    <t xml:space="preserve">  669,50    </t>
  </si>
  <si>
    <t xml:space="preserve">        23,76    </t>
  </si>
  <si>
    <t xml:space="preserve">  86,41    </t>
  </si>
  <si>
    <t xml:space="preserve">  8 153,71    </t>
  </si>
  <si>
    <t>Vzdálenost od pravého okraje</t>
  </si>
  <si>
    <t>Vzdialenosť od pravého kraja</t>
  </si>
  <si>
    <t>Odległość od prawej krawędzi</t>
  </si>
  <si>
    <t>Distance from the right edge</t>
  </si>
  <si>
    <t>A távolsága a jobb peremtől</t>
  </si>
  <si>
    <t>Distance par rapport au bord droit</t>
  </si>
  <si>
    <t>Vzdialenosť od horného kraja</t>
  </si>
  <si>
    <t>Vzdialenosť od dolného kraja</t>
  </si>
  <si>
    <t>Distance du bord supérieur</t>
  </si>
  <si>
    <t>Távolság a felső széltől</t>
  </si>
  <si>
    <t>Távolság az alsó széltől</t>
  </si>
  <si>
    <t>Distance from the upper edge</t>
  </si>
  <si>
    <t>Distance du bord inférieur</t>
  </si>
  <si>
    <t>Odległość od lewej krawędzi (dolnej)</t>
  </si>
  <si>
    <t>Odległość od dolnej krawędzi (lewej)</t>
  </si>
  <si>
    <t>Odległość od gornej krawędzi (lewej)</t>
  </si>
  <si>
    <t>Odległość od dolnej krawędzi (prawej)</t>
  </si>
  <si>
    <t>Odległość od gornej krawędzi (prawej)</t>
  </si>
  <si>
    <t>Odległość od lewej krawędzi (gornej)</t>
  </si>
  <si>
    <t>Odległość od prawej krawędzi (dolnej)</t>
  </si>
  <si>
    <t>Vzdálenost od pravého okraje (Horního)</t>
  </si>
  <si>
    <t>Odległość od prawej krawędzi (gornej)</t>
  </si>
  <si>
    <t>(spodního)</t>
  </si>
  <si>
    <t>(levého)</t>
  </si>
  <si>
    <t>(horního)</t>
  </si>
  <si>
    <t>(pravého)</t>
  </si>
  <si>
    <t>(spodného)</t>
  </si>
  <si>
    <t>(ľavého)</t>
  </si>
  <si>
    <t>(horného)</t>
  </si>
  <si>
    <t>A Rimini profilba nem lehetséges furatokat készíteni, ezért sem pánttal, sem felnyíló vasalattal nem szerelhető. A Rimini kerettel a maximális méret 1100 × 500 mm lehet, és nem szállítható szétszerelt állapotban, tehát üveg nélkül.</t>
  </si>
  <si>
    <t>Do profilu Rimini není možné vrtat, proto není možná montáž ani na závěsy, ani na výklopy. Maximální rozměr rámečku 1100x500 mm a nelze jej dodat bez skla.</t>
  </si>
  <si>
    <t>Il est impossible de percer le profilé Rimini ; par conséquent, son montage sur charnières ou sur fenêtres oscillo-battantes est impossible. La dimension maximale du cadre est de 1100 x 500 mm et il ne peut être fourni sans vitrage.</t>
  </si>
  <si>
    <t>It is not possible to drill into the Rimini profile, therefore it is not possible to mount it on hinges or on lift-up mechanismo. The maximum frame size is 1100x500 mm and it cannot be supplied without glass.</t>
  </si>
  <si>
    <t>Nie ma możliwości wiercenia w profilu Rimini, dlatego nie można go montować na zawiasach ani podnosnikow. Maksymalny rozmiar ramy to 1100 x 500 mm i nie jest dostępna bez szyby.</t>
  </si>
  <si>
    <t>Do profilu Rimini nie je možné vŕtať, preto nie je možná montáž ani na závesy, ani na výklopy. Maximálny rozmer rámčeka 1100x500 mm a nemožno ho dodať bez skla.</t>
  </si>
  <si>
    <t>RIMINI</t>
  </si>
  <si>
    <t>Modena tmavá nerez brúsená INOX LIJA - maximálna odporúčaná dĺžka profilu 2500 mm</t>
  </si>
  <si>
    <t>Modena dark stainless steel brushed (Inox lija- maximum profile length 2500 mm</t>
  </si>
  <si>
    <t>Verona tmavá nerez broušená (Inox Lija)- maximální doporučená délka profilu 2500 mm</t>
  </si>
  <si>
    <t>Verona nerez brúsená (Inox Lija) - maximálna odporúčaná dĺžka profilu 2500 mm</t>
  </si>
  <si>
    <t>Verona Inox szczotkowany (Inox Lija)- maksymalna zalecana zalecana długość profilu 2500 mm</t>
  </si>
  <si>
    <t>Verona nemesacél csiszolt (Inox Lija) - maximális ajánlott profilhosszúság 2500 mm</t>
  </si>
  <si>
    <t>Verona dark stainless steel brushed (Inox Lija) - maximum profile length 2500 mm</t>
  </si>
  <si>
    <t>Verona inox foncé brossé (Inox Lija) - longueur maximale recommandée du profil 2500 mm</t>
  </si>
  <si>
    <t>Vivaro dark stainless steel (Inox Lija) - maximum profile length 2500 mm</t>
  </si>
  <si>
    <t>Varna elox - maksymalna zalecana zalecana długość profilu 2500 mm</t>
  </si>
  <si>
    <t>Várna elox - maximális ajánlott profilhosszúság 2500 mm</t>
  </si>
  <si>
    <t>Varna elox. - maximum profile length 2500 mm</t>
  </si>
  <si>
    <t>Varna czarny - maksymalna zalecana zalecana długość profilu 1200 mm</t>
  </si>
  <si>
    <t>BRW bialy połysk RAL 9003</t>
  </si>
  <si>
    <t>BRW INOX ACIER gratta</t>
  </si>
  <si>
    <t>Corleone czarny matowy</t>
  </si>
  <si>
    <t>Imola (elox.)</t>
  </si>
  <si>
    <t>Imola Czarny matowy</t>
  </si>
  <si>
    <t>Imola bialy matowy RAL 9003</t>
  </si>
  <si>
    <t>Modena (elox.)</t>
  </si>
  <si>
    <t>Modena Czarny matowy</t>
  </si>
  <si>
    <t>Verona złota</t>
  </si>
  <si>
    <t>Modena czarna szczotka</t>
  </si>
  <si>
    <t>Palio (elox.)</t>
  </si>
  <si>
    <t>Palio Czarny matowy</t>
  </si>
  <si>
    <t>Pisa (elox.)</t>
  </si>
  <si>
    <t>Pisa Czarny matowy</t>
  </si>
  <si>
    <t>Vivaro złota</t>
  </si>
  <si>
    <t>Siena (elox.)</t>
  </si>
  <si>
    <t>Siena czarny matowy</t>
  </si>
  <si>
    <t>Verona (elox.)</t>
  </si>
  <si>
    <t>Verona szczotkowany</t>
  </si>
  <si>
    <t>Verona czarny połysk</t>
  </si>
  <si>
    <t>Verona czarny matowy</t>
  </si>
  <si>
    <t>Verona braz</t>
  </si>
  <si>
    <t>Verona szampański</t>
  </si>
  <si>
    <t>Verona Inox szczotkowany (Inox Lija)</t>
  </si>
  <si>
    <t>Rocca czarny matowy</t>
  </si>
  <si>
    <t>Vivaro czarny matowy</t>
  </si>
  <si>
    <t>Imola złota</t>
  </si>
  <si>
    <t>Vivaro biały matowy RAL 9003</t>
  </si>
  <si>
    <t>Vivaro biały połysk RAL 9003</t>
  </si>
  <si>
    <t>Varna elox</t>
  </si>
  <si>
    <t>Rocca (elox.)</t>
  </si>
  <si>
    <t>Pisa biały matowy RAL 9003</t>
  </si>
  <si>
    <t>Pisa biały połysk RAL 9003</t>
  </si>
  <si>
    <t>Varna czarny</t>
  </si>
  <si>
    <t>BRW złota szczotkowany</t>
  </si>
  <si>
    <t>Verona złota szczotkowany</t>
  </si>
  <si>
    <t>Vivaro złota szczotkowany</t>
  </si>
  <si>
    <t>Pisa złota</t>
  </si>
  <si>
    <t xml:space="preserve">ASTI  czarne </t>
  </si>
  <si>
    <t>ASTI  antracyt mat RAL 7021 mat lakier</t>
  </si>
  <si>
    <t>Verona Ivory mat</t>
  </si>
  <si>
    <t>Treviso czarny matowy</t>
  </si>
  <si>
    <t>Rimini elox naturalna</t>
  </si>
  <si>
    <t>Rimini czarny mat</t>
  </si>
  <si>
    <t>Rimini champagne</t>
  </si>
  <si>
    <t>Rimini zlota</t>
  </si>
  <si>
    <t>Rimini zlota szczotkowana</t>
  </si>
  <si>
    <t>BRW champagne</t>
  </si>
  <si>
    <t>BRW champagne light</t>
  </si>
  <si>
    <t>ROMA czarna matowa</t>
  </si>
  <si>
    <t>ROMA champagne mat</t>
  </si>
  <si>
    <t>ROMA GRIP czarna matowa</t>
  </si>
  <si>
    <t>ROMA GRIP champagne mat</t>
  </si>
  <si>
    <t>Planibel dark grey</t>
  </si>
  <si>
    <t>Verze:</t>
  </si>
  <si>
    <t>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</si>
</sst>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43" formatCode="_-* #,##0.00_-;\-* #,##0.00_-;_-* &quot;-&quot;??_-;_-@_-"/>
    <numFmt numFmtId="164" formatCode="#####&quot; mm&quot;"/>
    <numFmt numFmtId="165" formatCode="#,###,###.00000"/>
    <numFmt numFmtId="166" formatCode="##,###,###,###.00000"/>
    <numFmt numFmtId="167" formatCode="_-* #,##0.00\ [$zł-415]_-;\-* #,##0.00\ [$zł-415]_-;_-* &quot;-&quot;??\ [$zł-415]_-;_-@_-"/>
    <numFmt numFmtId="168" formatCode="0.0000"/>
    <numFmt numFmtId="169" formatCode="_-* #,##0_-;\-* #,##0_-;_-* &quot;-&quot;??_-;_-@_-"/>
  </numFmts>
  <fonts count="106">
    <font>
      <sz val="11"/>
      <color theme="1"/>
      <name val="Calibri"/>
      <family val="2"/>
      <charset val="238"/>
      <scheme val="minor"/>
    </font>
    <font>
      <sz val="10"/>
      <name val="Arial"/>
      <family val="2"/>
      <charset val="238"/>
    </font>
    <font>
      <sz val="11"/>
      <color indexed="8"/>
      <name val="Calibri"/>
      <family val="2"/>
      <charset val="238"/>
    </font>
    <font>
      <sz val="8"/>
      <name val="Calibri"/>
      <family val="2"/>
      <charset val="238"/>
    </font>
    <font>
      <b/>
      <sz val="11"/>
      <color indexed="10"/>
      <name val="Calibri"/>
      <family val="2"/>
      <charset val="238"/>
    </font>
    <font>
      <sz val="11"/>
      <color theme="1"/>
      <name val="Calibri"/>
      <family val="2"/>
      <charset val="238"/>
      <scheme val="minor"/>
    </font>
    <font>
      <b/>
      <sz val="11"/>
      <color theme="1"/>
      <name val="Calibri"/>
      <family val="2"/>
      <charset val="238"/>
      <scheme val="minor"/>
    </font>
    <font>
      <u/>
      <sz val="9.35"/>
      <color theme="10"/>
      <name val="Calibri"/>
      <family val="2"/>
      <charset val="238"/>
    </font>
    <font>
      <u/>
      <sz val="9"/>
      <color theme="10"/>
      <name val="Arial"/>
      <family val="2"/>
      <charset val="238"/>
    </font>
    <font>
      <b/>
      <sz val="11"/>
      <color theme="0"/>
      <name val="Calibri"/>
      <family val="2"/>
      <charset val="238"/>
      <scheme val="minor"/>
    </font>
    <font>
      <sz val="11"/>
      <color theme="1"/>
      <name val="Calibri"/>
      <family val="2"/>
      <scheme val="minor"/>
    </font>
    <font>
      <sz val="9"/>
      <color theme="1"/>
      <name val="Arial"/>
      <family val="2"/>
      <charset val="238"/>
    </font>
    <font>
      <sz val="11"/>
      <color rgb="FFFF0000"/>
      <name val="Calibri"/>
      <family val="2"/>
      <charset val="238"/>
      <scheme val="minor"/>
    </font>
    <font>
      <sz val="11"/>
      <color theme="0"/>
      <name val="Calibri"/>
      <family val="2"/>
      <charset val="238"/>
      <scheme val="minor"/>
    </font>
    <font>
      <sz val="8"/>
      <color theme="1"/>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b/>
      <sz val="12"/>
      <color theme="1"/>
      <name val="Calibri"/>
      <family val="2"/>
      <charset val="238"/>
      <scheme val="minor"/>
    </font>
    <font>
      <b/>
      <sz val="14"/>
      <color theme="1"/>
      <name val="Calibri"/>
      <family val="2"/>
      <charset val="238"/>
      <scheme val="minor"/>
    </font>
    <font>
      <sz val="16"/>
      <color theme="1"/>
      <name val="Calibri"/>
      <family val="2"/>
      <charset val="238"/>
      <scheme val="minor"/>
    </font>
    <font>
      <sz val="11"/>
      <name val="Calibri"/>
      <family val="2"/>
      <charset val="238"/>
      <scheme val="minor"/>
    </font>
    <font>
      <b/>
      <sz val="10"/>
      <color rgb="FFFF0000"/>
      <name val="Calibri"/>
      <family val="2"/>
      <charset val="238"/>
      <scheme val="minor"/>
    </font>
    <font>
      <sz val="10"/>
      <color theme="1"/>
      <name val="Arial"/>
      <family val="2"/>
      <charset val="238"/>
    </font>
    <font>
      <sz val="10.5"/>
      <color theme="1"/>
      <name val="Consolas"/>
      <family val="3"/>
      <charset val="238"/>
    </font>
    <font>
      <sz val="18"/>
      <color theme="1"/>
      <name val="Calibri"/>
      <family val="2"/>
      <charset val="238"/>
      <scheme val="minor"/>
    </font>
    <font>
      <sz val="14"/>
      <color rgb="FFFF0000"/>
      <name val="Calibri"/>
      <family val="2"/>
      <charset val="238"/>
      <scheme val="minor"/>
    </font>
    <font>
      <b/>
      <sz val="14"/>
      <color rgb="FFFF0000"/>
      <name val="Calibri"/>
      <family val="2"/>
      <charset val="238"/>
      <scheme val="minor"/>
    </font>
    <font>
      <sz val="14"/>
      <color theme="1"/>
      <name val="Calibri"/>
      <family val="2"/>
      <charset val="238"/>
      <scheme val="minor"/>
    </font>
    <font>
      <sz val="9"/>
      <color theme="1"/>
      <name val="Calibri"/>
      <family val="2"/>
      <charset val="238"/>
      <scheme val="minor"/>
    </font>
    <font>
      <b/>
      <sz val="12"/>
      <color theme="0"/>
      <name val="Calibri"/>
      <family val="2"/>
      <charset val="238"/>
      <scheme val="minor"/>
    </font>
    <font>
      <sz val="14"/>
      <color theme="0"/>
      <name val="Calibri"/>
      <family val="2"/>
      <charset val="238"/>
      <scheme val="minor"/>
    </font>
    <font>
      <sz val="9"/>
      <color theme="0"/>
      <name val="Arial"/>
      <family val="2"/>
      <charset val="238"/>
    </font>
    <font>
      <b/>
      <sz val="12"/>
      <color theme="0"/>
      <name val="Calibri"/>
      <family val="2"/>
      <charset val="238"/>
    </font>
    <font>
      <sz val="11"/>
      <color theme="0" tint="-0.499984740745262"/>
      <name val="Calibri"/>
      <family val="2"/>
      <charset val="238"/>
      <scheme val="minor"/>
    </font>
    <font>
      <sz val="12"/>
      <color theme="0"/>
      <name val="Calibri"/>
      <family val="2"/>
      <charset val="238"/>
      <scheme val="minor"/>
    </font>
    <font>
      <sz val="14"/>
      <color rgb="FF004984"/>
      <name val="Arial"/>
      <family val="2"/>
      <charset val="238"/>
    </font>
    <font>
      <sz val="9"/>
      <color rgb="FFFF0000"/>
      <name val="Arial"/>
      <family val="2"/>
      <charset val="238"/>
    </font>
    <font>
      <sz val="11"/>
      <color theme="1"/>
      <name val="Arial"/>
      <family val="2"/>
      <charset val="238"/>
    </font>
    <font>
      <b/>
      <sz val="18"/>
      <color theme="0"/>
      <name val="Calibri"/>
      <family val="2"/>
      <charset val="238"/>
      <scheme val="minor"/>
    </font>
    <font>
      <b/>
      <sz val="10"/>
      <color theme="0"/>
      <name val="Calibri"/>
      <family val="2"/>
      <charset val="238"/>
      <scheme val="minor"/>
    </font>
    <font>
      <sz val="8"/>
      <color theme="1"/>
      <name val="Arial"/>
      <family val="2"/>
      <charset val="238"/>
    </font>
    <font>
      <b/>
      <sz val="16"/>
      <color theme="1"/>
      <name val="Calibri"/>
      <family val="2"/>
      <charset val="238"/>
      <scheme val="minor"/>
    </font>
    <font>
      <b/>
      <sz val="16"/>
      <color theme="0"/>
      <name val="Calibri"/>
      <family val="2"/>
      <charset val="238"/>
      <scheme val="minor"/>
    </font>
    <font>
      <b/>
      <sz val="16"/>
      <color rgb="FFFF0000"/>
      <name val="Calibri"/>
      <family val="2"/>
      <charset val="238"/>
      <scheme val="minor"/>
    </font>
    <font>
      <b/>
      <sz val="11"/>
      <color rgb="FFFF0000"/>
      <name val="Calibri"/>
      <family val="2"/>
      <charset val="238"/>
      <scheme val="minor"/>
    </font>
    <font>
      <sz val="8"/>
      <color theme="1"/>
      <name val="Calibri"/>
      <family val="2"/>
      <charset val="238"/>
    </font>
    <font>
      <u/>
      <sz val="9.35"/>
      <color theme="1"/>
      <name val="Calibri"/>
      <family val="2"/>
      <charset val="238"/>
    </font>
    <font>
      <sz val="15"/>
      <color rgb="FF000000"/>
      <name val="Calibri"/>
      <family val="2"/>
      <scheme val="minor"/>
    </font>
    <font>
      <sz val="16"/>
      <color theme="0"/>
      <name val="Arial"/>
      <family val="2"/>
      <charset val="238"/>
    </font>
    <font>
      <b/>
      <sz val="72"/>
      <color theme="1"/>
      <name val="Calibri"/>
      <family val="2"/>
      <charset val="238"/>
      <scheme val="minor"/>
    </font>
    <font>
      <sz val="11"/>
      <color rgb="FF202124"/>
      <name val="Inherit"/>
    </font>
    <font>
      <sz val="11"/>
      <color rgb="FF202124"/>
      <name val="Calibri"/>
      <family val="2"/>
      <charset val="238"/>
      <scheme val="minor"/>
    </font>
    <font>
      <sz val="72"/>
      <color theme="1"/>
      <name val="Calibri"/>
      <family val="2"/>
      <charset val="238"/>
      <scheme val="minor"/>
    </font>
    <font>
      <sz val="11"/>
      <color rgb="FF1F1F1F"/>
      <name val="Calibri"/>
      <family val="2"/>
      <charset val="238"/>
      <scheme val="minor"/>
    </font>
    <font>
      <b/>
      <sz val="10"/>
      <color theme="0"/>
      <name val="Arial"/>
      <family val="2"/>
      <charset val="238"/>
    </font>
    <font>
      <b/>
      <sz val="11"/>
      <color theme="0"/>
      <name val="Arial"/>
      <family val="2"/>
      <charset val="238"/>
    </font>
    <font>
      <b/>
      <sz val="16"/>
      <name val="Calibri"/>
      <family val="2"/>
      <charset val="238"/>
      <scheme val="minor"/>
    </font>
    <font>
      <sz val="8"/>
      <color theme="0"/>
      <name val="Calibri"/>
      <family val="2"/>
      <charset val="238"/>
      <scheme val="minor"/>
    </font>
    <font>
      <b/>
      <sz val="14"/>
      <color theme="0"/>
      <name val="Calibri"/>
      <family val="2"/>
      <charset val="238"/>
    </font>
    <font>
      <sz val="10"/>
      <color theme="0"/>
      <name val="Calibri"/>
      <family val="2"/>
      <charset val="238"/>
      <scheme val="minor"/>
    </font>
    <font>
      <b/>
      <sz val="8"/>
      <color theme="1"/>
      <name val="Calibri"/>
      <family val="2"/>
      <charset val="238"/>
      <scheme val="minor"/>
    </font>
    <font>
      <b/>
      <sz val="8"/>
      <color theme="0"/>
      <name val="Calibri"/>
      <family val="2"/>
      <charset val="238"/>
      <scheme val="minor"/>
    </font>
    <font>
      <b/>
      <sz val="14"/>
      <color rgb="FFFF0000"/>
      <name val="Calibri"/>
      <family val="2"/>
      <scheme val="minor"/>
    </font>
    <font>
      <b/>
      <sz val="12"/>
      <color theme="0"/>
      <name val="Arial"/>
      <family val="2"/>
      <charset val="238"/>
    </font>
    <font>
      <b/>
      <sz val="16"/>
      <color theme="0"/>
      <name val="Calibri"/>
      <family val="2"/>
      <charset val="238"/>
    </font>
    <font>
      <sz val="9"/>
      <color theme="0"/>
      <name val="Calibri"/>
      <family val="2"/>
      <charset val="238"/>
      <scheme val="minor"/>
    </font>
    <font>
      <sz val="18"/>
      <color rgb="FF004984"/>
      <name val="Arial"/>
      <family val="2"/>
      <charset val="238"/>
    </font>
    <font>
      <b/>
      <sz val="11"/>
      <color theme="0"/>
      <name val="Calibri"/>
      <family val="2"/>
      <charset val="238"/>
    </font>
    <font>
      <b/>
      <sz val="14"/>
      <color theme="0"/>
      <name val="Calibri"/>
      <family val="2"/>
      <charset val="238"/>
      <scheme val="minor"/>
    </font>
    <font>
      <sz val="28"/>
      <color theme="1"/>
      <name val="Calibri"/>
      <family val="2"/>
      <charset val="238"/>
      <scheme val="minor"/>
    </font>
    <font>
      <sz val="11"/>
      <color rgb="FF000000"/>
      <name val="Calibri"/>
      <family val="2"/>
      <charset val="238"/>
    </font>
    <font>
      <b/>
      <sz val="11"/>
      <color rgb="FFFF0000"/>
      <name val="Calibri"/>
      <family val="2"/>
      <scheme val="minor"/>
    </font>
    <font>
      <sz val="9"/>
      <color rgb="FF202124"/>
      <name val="Inherit"/>
    </font>
    <font>
      <sz val="9"/>
      <color rgb="FF000000"/>
      <name val="Aptos Narrow"/>
      <family val="2"/>
    </font>
    <font>
      <sz val="11"/>
      <name val="Calibri"/>
      <family val="2"/>
      <charset val="238"/>
    </font>
    <font>
      <sz val="18"/>
      <color theme="0"/>
      <name val="Calibri"/>
      <family val="2"/>
      <charset val="238"/>
    </font>
    <font>
      <sz val="14"/>
      <name val="Calibri"/>
      <family val="2"/>
      <charset val="238"/>
      <scheme val="minor"/>
    </font>
    <font>
      <b/>
      <sz val="20"/>
      <color theme="1"/>
      <name val="Calibri"/>
      <family val="2"/>
      <charset val="238"/>
      <scheme val="minor"/>
    </font>
    <font>
      <b/>
      <sz val="11"/>
      <color rgb="FF000000"/>
      <name val="Calibri"/>
      <family val="2"/>
      <charset val="238"/>
    </font>
    <font>
      <b/>
      <sz val="14"/>
      <color rgb="FF000000"/>
      <name val="Calibri"/>
      <family val="2"/>
      <charset val="238"/>
    </font>
    <font>
      <b/>
      <sz val="18"/>
      <color rgb="FF000000"/>
      <name val="Calibri"/>
      <family val="2"/>
      <charset val="238"/>
    </font>
    <font>
      <u/>
      <sz val="12"/>
      <color theme="10"/>
      <name val="Calibri"/>
      <family val="2"/>
      <charset val="238"/>
    </font>
    <font>
      <b/>
      <sz val="14"/>
      <color theme="10"/>
      <name val="Calibri"/>
      <family val="2"/>
      <charset val="238"/>
    </font>
    <font>
      <u/>
      <sz val="11"/>
      <color theme="10"/>
      <name val="Calibri"/>
      <family val="2"/>
      <charset val="238"/>
    </font>
    <font>
      <b/>
      <sz val="16"/>
      <color theme="0"/>
      <name val="Arial"/>
      <family val="2"/>
      <charset val="238"/>
    </font>
    <font>
      <b/>
      <sz val="14"/>
      <name val="Calibri"/>
      <family val="2"/>
      <charset val="238"/>
      <scheme val="minor"/>
    </font>
    <font>
      <b/>
      <sz val="11"/>
      <name val="Calibri"/>
      <family val="2"/>
      <charset val="238"/>
      <scheme val="minor"/>
    </font>
    <font>
      <b/>
      <sz val="12"/>
      <name val="Calibri"/>
      <family val="2"/>
      <charset val="238"/>
      <scheme val="minor"/>
    </font>
    <font>
      <u/>
      <sz val="11"/>
      <color theme="1"/>
      <name val="Calibri"/>
      <family val="2"/>
      <charset val="238"/>
      <scheme val="minor"/>
    </font>
    <font>
      <sz val="11"/>
      <color theme="0" tint="-0.249977111117893"/>
      <name val="Calibri"/>
      <family val="2"/>
      <charset val="238"/>
      <scheme val="minor"/>
    </font>
    <font>
      <b/>
      <sz val="26"/>
      <color theme="1"/>
      <name val="Calibri"/>
      <family val="2"/>
      <charset val="238"/>
      <scheme val="minor"/>
    </font>
    <font>
      <sz val="11"/>
      <color rgb="FFFFFF00"/>
      <name val="Calibri"/>
      <family val="2"/>
      <charset val="238"/>
      <scheme val="minor"/>
    </font>
    <font>
      <b/>
      <sz val="14"/>
      <color theme="0" tint="-0.14999847407452621"/>
      <name val="Calibri"/>
      <family val="2"/>
      <charset val="238"/>
      <scheme val="minor"/>
    </font>
    <font>
      <b/>
      <u/>
      <sz val="16"/>
      <name val="Calibri"/>
      <family val="2"/>
      <charset val="238"/>
      <scheme val="minor"/>
    </font>
    <font>
      <sz val="18"/>
      <color rgb="FF000000"/>
      <name val="Calibri"/>
      <family val="2"/>
      <charset val="238"/>
    </font>
    <font>
      <b/>
      <sz val="11"/>
      <color rgb="FF000000"/>
      <name val="Czcionka tekstu podstawowego"/>
    </font>
    <font>
      <sz val="11"/>
      <color rgb="FF000000"/>
      <name val="Czcionka tekstu podstawowego"/>
    </font>
    <font>
      <b/>
      <sz val="12"/>
      <color rgb="FF000000"/>
      <name val="Calibri"/>
      <family val="2"/>
      <charset val="238"/>
    </font>
    <font>
      <b/>
      <sz val="26"/>
      <name val="Calibri"/>
      <family val="2"/>
      <charset val="238"/>
      <scheme val="minor"/>
    </font>
    <font>
      <b/>
      <sz val="36"/>
      <color theme="1"/>
      <name val="Calibri"/>
      <family val="2"/>
      <charset val="238"/>
      <scheme val="minor"/>
    </font>
    <font>
      <b/>
      <sz val="24"/>
      <name val="Calibri"/>
      <family val="2"/>
      <charset val="238"/>
      <scheme val="minor"/>
    </font>
    <font>
      <b/>
      <sz val="24"/>
      <color theme="1"/>
      <name val="Calibri"/>
      <family val="2"/>
      <charset val="238"/>
      <scheme val="minor"/>
    </font>
    <font>
      <sz val="24"/>
      <color theme="0"/>
      <name val="Arial"/>
      <family val="2"/>
      <charset val="238"/>
    </font>
    <font>
      <sz val="8"/>
      <color rgb="FF000000"/>
      <name val="Calibri"/>
      <family val="2"/>
      <charset val="238"/>
    </font>
    <font>
      <b/>
      <sz val="28"/>
      <color theme="1"/>
      <name val="Calibri"/>
      <family val="2"/>
      <charset val="238"/>
      <scheme val="minor"/>
    </font>
  </fonts>
  <fills count="37">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4984"/>
        <bgColor indexed="64"/>
      </patternFill>
    </fill>
    <fill>
      <patternFill patternType="solid">
        <fgColor rgb="FF009EE0"/>
        <bgColor indexed="64"/>
      </patternFill>
    </fill>
    <fill>
      <patternFill patternType="lightUp">
        <bgColor theme="0" tint="-0.14999847407452621"/>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bgColor indexed="64"/>
      </patternFill>
    </fill>
    <fill>
      <patternFill patternType="lightUp">
        <bgColor theme="0" tint="-0.14996795556505021"/>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E6F5"/>
        <bgColor rgb="FF000000"/>
      </patternFill>
    </fill>
    <fill>
      <patternFill patternType="solid">
        <fgColor rgb="FFFFFF00"/>
        <bgColor rgb="FF000000"/>
      </patternFill>
    </fill>
    <fill>
      <patternFill patternType="solid">
        <fgColor theme="2"/>
        <bgColor indexed="64"/>
      </patternFill>
    </fill>
    <fill>
      <patternFill patternType="solid">
        <fgColor theme="4"/>
        <bgColor indexed="64"/>
      </patternFill>
    </fill>
    <fill>
      <patternFill patternType="gray0625"/>
    </fill>
    <fill>
      <patternFill patternType="solid">
        <fgColor theme="1"/>
        <bgColor indexed="64"/>
      </patternFill>
    </fill>
    <fill>
      <patternFill patternType="solid">
        <fgColor theme="6" tint="0.39997558519241921"/>
        <bgColor indexed="64"/>
      </patternFill>
    </fill>
    <fill>
      <patternFill patternType="solid">
        <fgColor rgb="FF00B050"/>
        <bgColor indexed="64"/>
      </patternFill>
    </fill>
    <fill>
      <patternFill patternType="solid">
        <fgColor rgb="FFD9E1F2"/>
        <bgColor indexed="64"/>
      </patternFill>
    </fill>
  </fills>
  <borders count="9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thick">
        <color indexed="64"/>
      </bottom>
      <diagonal/>
    </border>
    <border>
      <left/>
      <right style="medium">
        <color indexed="64"/>
      </right>
      <top style="medium">
        <color indexed="64"/>
      </top>
      <bottom style="medium">
        <color indexed="64"/>
      </bottom>
      <diagonal/>
    </border>
    <border>
      <left/>
      <right/>
      <top/>
      <bottom style="dotted">
        <color rgb="FF004984"/>
      </bottom>
      <diagonal/>
    </border>
    <border>
      <left style="medium">
        <color rgb="FF004984"/>
      </left>
      <right/>
      <top/>
      <bottom/>
      <diagonal/>
    </border>
    <border>
      <left/>
      <right style="medium">
        <color rgb="FF004984"/>
      </right>
      <top/>
      <bottom/>
      <diagonal/>
    </border>
    <border>
      <left style="medium">
        <color rgb="FF004984"/>
      </left>
      <right/>
      <top/>
      <bottom style="medium">
        <color rgb="FF004984"/>
      </bottom>
      <diagonal/>
    </border>
    <border>
      <left/>
      <right/>
      <top/>
      <bottom style="medium">
        <color rgb="FF004984"/>
      </bottom>
      <diagonal/>
    </border>
    <border>
      <left/>
      <right style="medium">
        <color rgb="FF004984"/>
      </right>
      <top/>
      <bottom style="medium">
        <color rgb="FF00498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thick">
        <color rgb="FF004984"/>
      </top>
      <bottom/>
      <diagonal/>
    </border>
    <border>
      <left/>
      <right style="thin">
        <color theme="0"/>
      </right>
      <top/>
      <bottom/>
      <diagonal/>
    </border>
    <border>
      <left style="thin">
        <color theme="0"/>
      </left>
      <right/>
      <top/>
      <bottom/>
      <diagonal/>
    </border>
    <border>
      <left style="thin">
        <color theme="0"/>
      </left>
      <right/>
      <top style="thin">
        <color theme="0"/>
      </top>
      <bottom style="thin">
        <color theme="0"/>
      </bottom>
      <diagonal/>
    </border>
    <border>
      <left/>
      <right style="medium">
        <color indexed="64"/>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medium">
        <color indexed="64"/>
      </right>
      <top style="thin">
        <color theme="0"/>
      </top>
      <bottom/>
      <diagonal/>
    </border>
    <border>
      <left style="medium">
        <color indexed="64"/>
      </left>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bottom style="thin">
        <color theme="0"/>
      </bottom>
      <diagonal/>
    </border>
    <border>
      <left/>
      <right style="dashed">
        <color theme="0"/>
      </right>
      <top style="thin">
        <color theme="0"/>
      </top>
      <bottom style="thin">
        <color theme="0"/>
      </bottom>
      <diagonal/>
    </border>
    <border>
      <left style="medium">
        <color rgb="FF004984"/>
      </left>
      <right/>
      <top/>
      <bottom style="dotted">
        <color indexed="64"/>
      </bottom>
      <diagonal/>
    </border>
    <border>
      <left/>
      <right style="medium">
        <color rgb="FF004984"/>
      </right>
      <top/>
      <bottom style="dotted">
        <color indexed="64"/>
      </bottom>
      <diagonal/>
    </border>
    <border>
      <left style="medium">
        <color rgb="FF004984"/>
      </left>
      <right/>
      <top style="medium">
        <color rgb="FF004984"/>
      </top>
      <bottom/>
      <diagonal/>
    </border>
    <border>
      <left/>
      <right/>
      <top style="medium">
        <color rgb="FF004984"/>
      </top>
      <bottom/>
      <diagonal/>
    </border>
    <border>
      <left/>
      <right style="medium">
        <color rgb="FF004984"/>
      </right>
      <top style="medium">
        <color rgb="FF00498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4" fontId="5" fillId="0" borderId="0" applyFont="0" applyFill="0" applyBorder="0" applyAlignment="0" applyProtection="0"/>
    <xf numFmtId="0" fontId="10" fillId="0" borderId="0"/>
    <xf numFmtId="0" fontId="10" fillId="0" borderId="0"/>
    <xf numFmtId="0" fontId="1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2" fillId="0" borderId="0"/>
    <xf numFmtId="43" fontId="5" fillId="0" borderId="0" applyFont="0" applyFill="0" applyBorder="0" applyAlignment="0" applyProtection="0"/>
    <xf numFmtId="0" fontId="75" fillId="0" borderId="0"/>
    <xf numFmtId="44" fontId="5" fillId="0" borderId="0" applyFont="0" applyFill="0" applyBorder="0" applyAlignment="0" applyProtection="0"/>
  </cellStyleXfs>
  <cellXfs count="791">
    <xf numFmtId="0" fontId="0" fillId="0" borderId="0" xfId="0"/>
    <xf numFmtId="0" fontId="0" fillId="0" borderId="0" xfId="0" applyProtection="1">
      <protection hidden="1"/>
    </xf>
    <xf numFmtId="0" fontId="0" fillId="0" borderId="0" xfId="0" applyAlignment="1">
      <alignment horizontal="left"/>
    </xf>
    <xf numFmtId="0" fontId="6" fillId="0" borderId="0" xfId="0" applyFont="1" applyProtection="1">
      <protection hidden="1"/>
    </xf>
    <xf numFmtId="0" fontId="0" fillId="0" borderId="12" xfId="0" applyBorder="1" applyProtection="1">
      <protection hidden="1"/>
    </xf>
    <xf numFmtId="0" fontId="0" fillId="0" borderId="14" xfId="0" applyBorder="1" applyProtection="1">
      <protection hidden="1"/>
    </xf>
    <xf numFmtId="0" fontId="0" fillId="0" borderId="0" xfId="0" applyProtection="1">
      <protection locked="0" hidden="1"/>
    </xf>
    <xf numFmtId="49" fontId="0" fillId="0" borderId="0" xfId="0" applyNumberFormat="1"/>
    <xf numFmtId="0" fontId="0" fillId="0" borderId="3" xfId="0" applyBorder="1" applyProtection="1">
      <protection hidden="1"/>
    </xf>
    <xf numFmtId="0" fontId="0" fillId="0" borderId="0" xfId="0" applyAlignment="1" applyProtection="1">
      <alignment vertical="center"/>
      <protection hidden="1"/>
    </xf>
    <xf numFmtId="0" fontId="6" fillId="0" borderId="0" xfId="0" applyFont="1"/>
    <xf numFmtId="0" fontId="12" fillId="0" borderId="0" xfId="0" applyFont="1" applyProtection="1">
      <protection hidden="1"/>
    </xf>
    <xf numFmtId="0" fontId="21" fillId="0" borderId="0" xfId="0" applyFont="1" applyProtection="1">
      <protection hidden="1"/>
    </xf>
    <xf numFmtId="49" fontId="12" fillId="0" borderId="0" xfId="0" applyNumberFormat="1" applyFont="1" applyProtection="1">
      <protection hidden="1"/>
    </xf>
    <xf numFmtId="0" fontId="0" fillId="0" borderId="0" xfId="0" applyAlignment="1" applyProtection="1">
      <alignment horizontal="left"/>
      <protection hidden="1"/>
    </xf>
    <xf numFmtId="0" fontId="0" fillId="10" borderId="0" xfId="0" applyFill="1" applyProtection="1">
      <protection hidden="1"/>
    </xf>
    <xf numFmtId="49" fontId="12" fillId="10" borderId="0" xfId="0" applyNumberFormat="1" applyFont="1" applyFill="1" applyProtection="1">
      <protection hidden="1"/>
    </xf>
    <xf numFmtId="0" fontId="12" fillId="10" borderId="0" xfId="0" applyFont="1" applyFill="1" applyProtection="1">
      <protection hidden="1"/>
    </xf>
    <xf numFmtId="0" fontId="0" fillId="11" borderId="0" xfId="0" applyFill="1" applyProtection="1">
      <protection hidden="1"/>
    </xf>
    <xf numFmtId="0" fontId="28" fillId="0" borderId="0" xfId="0" applyFont="1" applyProtection="1">
      <protection hidden="1"/>
    </xf>
    <xf numFmtId="0" fontId="29" fillId="0" borderId="0" xfId="0" applyFont="1" applyProtection="1">
      <protection hidden="1"/>
    </xf>
    <xf numFmtId="0" fontId="30" fillId="0" borderId="0" xfId="9" applyFont="1" applyAlignment="1" applyProtection="1">
      <alignment horizontal="center" vertical="center"/>
      <protection hidden="1"/>
    </xf>
    <xf numFmtId="0" fontId="0" fillId="2" borderId="0" xfId="0" applyFill="1"/>
    <xf numFmtId="0" fontId="0" fillId="13" borderId="0" xfId="0" applyFill="1"/>
    <xf numFmtId="0" fontId="0" fillId="14" borderId="0" xfId="0" applyFill="1"/>
    <xf numFmtId="0" fontId="6" fillId="2" borderId="0" xfId="0" applyFont="1" applyFill="1"/>
    <xf numFmtId="0" fontId="0" fillId="14" borderId="0" xfId="0" applyFill="1" applyAlignment="1">
      <alignment horizontal="center"/>
    </xf>
    <xf numFmtId="0" fontId="0" fillId="15" borderId="0" xfId="0" applyFill="1"/>
    <xf numFmtId="0" fontId="0" fillId="16" borderId="0" xfId="0" applyFill="1"/>
    <xf numFmtId="0" fontId="13" fillId="0" borderId="0" xfId="0" applyFont="1" applyProtection="1">
      <protection hidden="1"/>
    </xf>
    <xf numFmtId="0" fontId="13" fillId="17" borderId="0" xfId="0" applyFont="1" applyFill="1" applyProtection="1">
      <protection hidden="1"/>
    </xf>
    <xf numFmtId="0" fontId="0" fillId="17" borderId="0" xfId="0" applyFill="1" applyProtection="1">
      <protection hidden="1"/>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5" borderId="29" xfId="0" applyFill="1" applyBorder="1" applyProtection="1">
      <protection hidden="1"/>
    </xf>
    <xf numFmtId="0" fontId="0" fillId="3" borderId="0" xfId="0" applyFill="1" applyAlignment="1">
      <alignment vertical="center"/>
    </xf>
    <xf numFmtId="0" fontId="11" fillId="17" borderId="0" xfId="7" applyFill="1" applyProtection="1">
      <protection hidden="1"/>
    </xf>
    <xf numFmtId="0" fontId="11" fillId="10" borderId="0" xfId="7" applyFill="1" applyProtection="1">
      <protection hidden="1"/>
    </xf>
    <xf numFmtId="0" fontId="0" fillId="0" borderId="29" xfId="0" applyBorder="1" applyProtection="1">
      <protection hidden="1"/>
    </xf>
    <xf numFmtId="49" fontId="12" fillId="0" borderId="29" xfId="0" applyNumberFormat="1" applyFont="1" applyBorder="1" applyProtection="1">
      <protection hidden="1"/>
    </xf>
    <xf numFmtId="0" fontId="12" fillId="0" borderId="29" xfId="0" applyFont="1" applyBorder="1" applyProtection="1">
      <protection hidden="1"/>
    </xf>
    <xf numFmtId="49" fontId="0" fillId="0" borderId="0" xfId="0" applyNumberFormat="1" applyProtection="1">
      <protection hidden="1"/>
    </xf>
    <xf numFmtId="0" fontId="0" fillId="17" borderId="0" xfId="0" applyFill="1" applyAlignment="1" applyProtection="1">
      <alignment wrapText="1"/>
      <protection hidden="1"/>
    </xf>
    <xf numFmtId="0" fontId="0" fillId="17" borderId="30" xfId="0" applyFill="1" applyBorder="1" applyProtection="1">
      <protection hidden="1"/>
    </xf>
    <xf numFmtId="0" fontId="0" fillId="0" borderId="8" xfId="0" applyBorder="1" applyProtection="1">
      <protection hidden="1"/>
    </xf>
    <xf numFmtId="0" fontId="0" fillId="17" borderId="8" xfId="0" applyFill="1" applyBorder="1" applyProtection="1">
      <protection hidden="1"/>
    </xf>
    <xf numFmtId="0" fontId="0" fillId="17" borderId="10" xfId="0" applyFill="1" applyBorder="1" applyProtection="1">
      <protection hidden="1"/>
    </xf>
    <xf numFmtId="0" fontId="9" fillId="0" borderId="0" xfId="0" applyFont="1" applyProtection="1">
      <protection hidden="1"/>
    </xf>
    <xf numFmtId="0" fontId="6" fillId="0" borderId="0" xfId="0" applyFont="1" applyAlignment="1" applyProtection="1">
      <alignment horizontal="left"/>
      <protection hidden="1"/>
    </xf>
    <xf numFmtId="0" fontId="9" fillId="17" borderId="0" xfId="0" applyFont="1" applyFill="1" applyAlignment="1" applyProtection="1">
      <alignment horizontal="center" vertical="center"/>
      <protection hidden="1"/>
    </xf>
    <xf numFmtId="164" fontId="0" fillId="17" borderId="0" xfId="0" applyNumberFormat="1" applyFill="1" applyAlignment="1" applyProtection="1">
      <alignment horizontal="center" vertical="center"/>
      <protection hidden="1"/>
    </xf>
    <xf numFmtId="49" fontId="12" fillId="17" borderId="0" xfId="0" applyNumberFormat="1" applyFont="1" applyFill="1" applyProtection="1">
      <protection hidden="1"/>
    </xf>
    <xf numFmtId="0" fontId="12" fillId="17" borderId="0" xfId="0" applyFont="1" applyFill="1" applyProtection="1">
      <protection hidden="1"/>
    </xf>
    <xf numFmtId="0" fontId="0" fillId="0" borderId="0" xfId="0" applyAlignment="1" applyProtection="1">
      <alignment horizontal="left" vertical="center" indent="1"/>
      <protection hidden="1"/>
    </xf>
    <xf numFmtId="0" fontId="0" fillId="5" borderId="31" xfId="0" applyFill="1" applyBorder="1" applyProtection="1">
      <protection hidden="1"/>
    </xf>
    <xf numFmtId="0" fontId="33" fillId="0" borderId="0" xfId="1" applyFont="1" applyFill="1" applyBorder="1" applyAlignment="1" applyProtection="1">
      <alignment vertical="center"/>
      <protection hidden="1"/>
    </xf>
    <xf numFmtId="0" fontId="14" fillId="0" borderId="0" xfId="0" applyFont="1" applyAlignment="1" applyProtection="1">
      <alignment vertical="top"/>
      <protection hidden="1"/>
    </xf>
    <xf numFmtId="0" fontId="11" fillId="17" borderId="0" xfId="7" applyFill="1" applyAlignment="1" applyProtection="1">
      <alignment vertical="center"/>
      <protection hidden="1"/>
    </xf>
    <xf numFmtId="49"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0" fontId="0" fillId="12" borderId="1" xfId="0" applyFill="1" applyBorder="1" applyAlignment="1" applyProtection="1">
      <alignment vertical="center"/>
      <protection hidden="1"/>
    </xf>
    <xf numFmtId="0" fontId="0" fillId="12" borderId="15" xfId="0" applyFill="1" applyBorder="1" applyAlignment="1" applyProtection="1">
      <alignment vertical="center"/>
      <protection hidden="1"/>
    </xf>
    <xf numFmtId="0" fontId="0" fillId="18" borderId="15" xfId="0" applyFill="1" applyBorder="1" applyAlignment="1" applyProtection="1">
      <alignment vertical="center"/>
      <protection hidden="1"/>
    </xf>
    <xf numFmtId="49" fontId="12" fillId="12" borderId="15" xfId="0" applyNumberFormat="1" applyFont="1" applyFill="1" applyBorder="1" applyAlignment="1" applyProtection="1">
      <alignment vertical="center"/>
      <protection hidden="1"/>
    </xf>
    <xf numFmtId="0" fontId="12" fillId="12" borderId="19" xfId="0" applyFont="1" applyFill="1" applyBorder="1" applyAlignment="1" applyProtection="1">
      <alignment vertical="center"/>
      <protection hidden="1"/>
    </xf>
    <xf numFmtId="0" fontId="0" fillId="12" borderId="2" xfId="0" applyFill="1" applyBorder="1" applyAlignment="1" applyProtection="1">
      <alignment vertical="center"/>
      <protection hidden="1"/>
    </xf>
    <xf numFmtId="0" fontId="0" fillId="12" borderId="22" xfId="0" applyFill="1" applyBorder="1" applyAlignment="1" applyProtection="1">
      <alignment vertical="center"/>
      <protection hidden="1"/>
    </xf>
    <xf numFmtId="0" fontId="0" fillId="0" borderId="1" xfId="0" applyBorder="1" applyAlignment="1" applyProtection="1">
      <alignment vertical="center"/>
      <protection hidden="1"/>
    </xf>
    <xf numFmtId="0" fontId="0" fillId="0" borderId="15" xfId="0" applyBorder="1" applyAlignment="1" applyProtection="1">
      <alignment vertical="center"/>
      <protection hidden="1"/>
    </xf>
    <xf numFmtId="0" fontId="0" fillId="17" borderId="15" xfId="0" applyFill="1" applyBorder="1" applyAlignment="1" applyProtection="1">
      <alignment vertical="center"/>
      <protection hidden="1"/>
    </xf>
    <xf numFmtId="49" fontId="12" fillId="17" borderId="15" xfId="0" applyNumberFormat="1" applyFont="1" applyFill="1" applyBorder="1" applyAlignment="1" applyProtection="1">
      <alignment vertical="center"/>
      <protection hidden="1"/>
    </xf>
    <xf numFmtId="0" fontId="0" fillId="0" borderId="2" xfId="0" applyBorder="1" applyAlignment="1" applyProtection="1">
      <alignment vertical="center"/>
      <protection hidden="1"/>
    </xf>
    <xf numFmtId="0" fontId="0" fillId="12" borderId="21" xfId="0" applyFill="1" applyBorder="1" applyAlignment="1" applyProtection="1">
      <alignment vertical="center"/>
      <protection hidden="1"/>
    </xf>
    <xf numFmtId="0" fontId="13" fillId="17" borderId="0" xfId="0" applyFont="1" applyFill="1" applyAlignment="1" applyProtection="1">
      <alignment vertical="center"/>
      <protection hidden="1"/>
    </xf>
    <xf numFmtId="0" fontId="0" fillId="12" borderId="28" xfId="0" applyFill="1" applyBorder="1" applyAlignment="1" applyProtection="1">
      <alignment vertical="center"/>
      <protection hidden="1"/>
    </xf>
    <xf numFmtId="0" fontId="0" fillId="18" borderId="28" xfId="0" applyFill="1" applyBorder="1" applyAlignment="1" applyProtection="1">
      <alignment vertical="center"/>
      <protection hidden="1"/>
    </xf>
    <xf numFmtId="0" fontId="0" fillId="18" borderId="2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21" xfId="0" applyBorder="1" applyAlignment="1" applyProtection="1">
      <alignment vertical="center"/>
      <protection hidden="1"/>
    </xf>
    <xf numFmtId="0" fontId="0" fillId="17" borderId="21" xfId="0" applyFill="1" applyBorder="1" applyAlignment="1" applyProtection="1">
      <alignment vertical="center"/>
      <protection hidden="1"/>
    </xf>
    <xf numFmtId="0" fontId="0" fillId="17" borderId="22" xfId="0" applyFill="1" applyBorder="1" applyAlignment="1" applyProtection="1">
      <alignment vertical="center"/>
      <protection hidden="1"/>
    </xf>
    <xf numFmtId="0" fontId="0" fillId="18" borderId="21" xfId="0" applyFill="1" applyBorder="1" applyAlignment="1" applyProtection="1">
      <alignment vertical="center"/>
      <protection hidden="1"/>
    </xf>
    <xf numFmtId="0" fontId="0" fillId="0" borderId="23" xfId="0" applyBorder="1" applyAlignment="1" applyProtection="1">
      <alignment vertical="center"/>
      <protection hidden="1"/>
    </xf>
    <xf numFmtId="0" fontId="0" fillId="0" borderId="13" xfId="0" applyBorder="1" applyAlignment="1" applyProtection="1">
      <alignment vertical="center"/>
      <protection hidden="1"/>
    </xf>
    <xf numFmtId="0" fontId="0" fillId="17" borderId="13" xfId="0" applyFill="1" applyBorder="1" applyAlignment="1" applyProtection="1">
      <alignment vertical="center"/>
      <protection hidden="1"/>
    </xf>
    <xf numFmtId="49" fontId="12" fillId="17" borderId="13" xfId="0" applyNumberFormat="1" applyFont="1" applyFill="1" applyBorder="1" applyAlignment="1" applyProtection="1">
      <alignment vertical="center"/>
      <protection hidden="1"/>
    </xf>
    <xf numFmtId="0" fontId="0" fillId="0" borderId="24" xfId="0" applyBorder="1" applyAlignment="1" applyProtection="1">
      <alignment vertical="center"/>
      <protection hidden="1"/>
    </xf>
    <xf numFmtId="0" fontId="0" fillId="12" borderId="23" xfId="0" applyFill="1" applyBorder="1" applyAlignment="1" applyProtection="1">
      <alignment vertical="center"/>
      <protection hidden="1"/>
    </xf>
    <xf numFmtId="0" fontId="0" fillId="12" borderId="13" xfId="0" applyFill="1" applyBorder="1" applyAlignment="1" applyProtection="1">
      <alignment vertical="center"/>
      <protection hidden="1"/>
    </xf>
    <xf numFmtId="0" fontId="0" fillId="18" borderId="13" xfId="0" applyFill="1" applyBorder="1" applyAlignment="1" applyProtection="1">
      <alignment vertical="center"/>
      <protection hidden="1"/>
    </xf>
    <xf numFmtId="49" fontId="12" fillId="12" borderId="13" xfId="0" applyNumberFormat="1" applyFont="1" applyFill="1" applyBorder="1" applyAlignment="1" applyProtection="1">
      <alignment vertical="center"/>
      <protection hidden="1"/>
    </xf>
    <xf numFmtId="0" fontId="0" fillId="12" borderId="24" xfId="0" applyFill="1" applyBorder="1" applyAlignment="1" applyProtection="1">
      <alignment vertical="center"/>
      <protection hidden="1"/>
    </xf>
    <xf numFmtId="0" fontId="26" fillId="0" borderId="0" xfId="0" applyFont="1" applyAlignment="1" applyProtection="1">
      <alignment vertical="center"/>
      <protection hidden="1"/>
    </xf>
    <xf numFmtId="0" fontId="34" fillId="0" borderId="0" xfId="0" applyFont="1" applyProtection="1">
      <protection hidden="1"/>
    </xf>
    <xf numFmtId="0" fontId="34" fillId="17" borderId="0" xfId="0" applyFont="1" applyFill="1" applyProtection="1">
      <protection hidden="1"/>
    </xf>
    <xf numFmtId="0" fontId="35" fillId="0" borderId="0" xfId="0" applyFont="1" applyAlignment="1" applyProtection="1">
      <alignment vertical="center"/>
      <protection hidden="1"/>
    </xf>
    <xf numFmtId="0" fontId="35" fillId="5" borderId="57" xfId="0" applyFont="1" applyFill="1" applyBorder="1" applyAlignment="1" applyProtection="1">
      <alignment vertical="center"/>
      <protection hidden="1"/>
    </xf>
    <xf numFmtId="0" fontId="35" fillId="0" borderId="57" xfId="0" applyFont="1" applyBorder="1" applyAlignment="1" applyProtection="1">
      <alignment vertical="center"/>
      <protection hidden="1"/>
    </xf>
    <xf numFmtId="0" fontId="0" fillId="17" borderId="0" xfId="0" applyFill="1" applyAlignment="1" applyProtection="1">
      <alignment vertical="center"/>
      <protection hidden="1"/>
    </xf>
    <xf numFmtId="0" fontId="11" fillId="0" borderId="0" xfId="7" applyAlignment="1" applyProtection="1">
      <alignment vertical="center"/>
      <protection hidden="1"/>
    </xf>
    <xf numFmtId="0" fontId="36" fillId="0" borderId="0" xfId="8" applyFont="1" applyAlignment="1" applyProtection="1">
      <alignment vertical="center" wrapText="1"/>
      <protection hidden="1"/>
    </xf>
    <xf numFmtId="0" fontId="31" fillId="0" borderId="0" xfId="0" applyFont="1" applyAlignment="1" applyProtection="1">
      <alignment vertical="center"/>
      <protection hidden="1"/>
    </xf>
    <xf numFmtId="0" fontId="37" fillId="17" borderId="0" xfId="7" applyFont="1" applyFill="1" applyAlignment="1" applyProtection="1">
      <alignment vertical="center"/>
      <protection hidden="1"/>
    </xf>
    <xf numFmtId="0" fontId="37" fillId="0" borderId="0" xfId="7" applyFont="1" applyAlignment="1" applyProtection="1">
      <alignment vertical="center"/>
      <protection hidden="1"/>
    </xf>
    <xf numFmtId="0" fontId="38" fillId="17" borderId="0" xfId="7" applyFont="1" applyFill="1" applyAlignment="1" applyProtection="1">
      <alignment vertical="center"/>
      <protection hidden="1"/>
    </xf>
    <xf numFmtId="0" fontId="35" fillId="0" borderId="58" xfId="0" applyFont="1" applyBorder="1" applyAlignment="1" applyProtection="1">
      <alignment vertical="center"/>
      <protection hidden="1"/>
    </xf>
    <xf numFmtId="0" fontId="35" fillId="0" borderId="11" xfId="0" applyFont="1" applyBorder="1" applyAlignment="1" applyProtection="1">
      <alignment vertical="center"/>
      <protection hidden="1"/>
    </xf>
    <xf numFmtId="0" fontId="0" fillId="0" borderId="59" xfId="0" applyBorder="1" applyProtection="1">
      <protection hidden="1"/>
    </xf>
    <xf numFmtId="49" fontId="12" fillId="0" borderId="59" xfId="0" applyNumberFormat="1" applyFont="1" applyBorder="1" applyProtection="1">
      <protection hidden="1"/>
    </xf>
    <xf numFmtId="0" fontId="12" fillId="0" borderId="59" xfId="0" applyFont="1" applyBorder="1" applyProtection="1">
      <protection hidden="1"/>
    </xf>
    <xf numFmtId="0" fontId="0" fillId="0" borderId="0" xfId="0" applyAlignment="1" applyProtection="1">
      <alignment vertical="center"/>
      <protection locked="0" hidden="1"/>
    </xf>
    <xf numFmtId="0" fontId="13" fillId="0" borderId="15" xfId="0" applyFont="1" applyBorder="1" applyAlignment="1" applyProtection="1">
      <alignment vertical="center"/>
      <protection hidden="1"/>
    </xf>
    <xf numFmtId="0" fontId="25" fillId="0" borderId="0" xfId="0" applyFont="1" applyAlignment="1" applyProtection="1">
      <alignment vertical="center"/>
      <protection hidden="1"/>
    </xf>
    <xf numFmtId="0" fontId="35" fillId="0" borderId="57" xfId="0" applyFont="1" applyBorder="1" applyAlignment="1" applyProtection="1">
      <alignment horizontal="left" vertical="center" indent="1"/>
      <protection hidden="1"/>
    </xf>
    <xf numFmtId="0" fontId="0" fillId="0" borderId="0" xfId="0" applyAlignment="1" applyProtection="1">
      <alignment horizontal="left" indent="1"/>
      <protection hidden="1"/>
    </xf>
    <xf numFmtId="0" fontId="0" fillId="0" borderId="60" xfId="0" applyBorder="1" applyProtection="1">
      <protection hidden="1"/>
    </xf>
    <xf numFmtId="0" fontId="0" fillId="0" borderId="61" xfId="0" applyBorder="1" applyAlignment="1" applyProtection="1">
      <alignment horizontal="left" indent="1"/>
      <protection hidden="1"/>
    </xf>
    <xf numFmtId="0" fontId="35" fillId="0" borderId="62" xfId="0" applyFont="1" applyBorder="1" applyAlignment="1" applyProtection="1">
      <alignment horizontal="left" vertical="center" indent="1"/>
      <protection hidden="1"/>
    </xf>
    <xf numFmtId="0" fontId="0" fillId="0" borderId="61" xfId="0" applyBorder="1" applyProtection="1">
      <protection hidden="1"/>
    </xf>
    <xf numFmtId="0" fontId="39" fillId="0" borderId="0" xfId="0" applyFont="1" applyAlignment="1" applyProtection="1">
      <alignment vertical="center"/>
      <protection hidden="1"/>
    </xf>
    <xf numFmtId="9"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49" fontId="12" fillId="11" borderId="0" xfId="0" applyNumberFormat="1" applyFont="1" applyFill="1" applyProtection="1">
      <protection hidden="1"/>
    </xf>
    <xf numFmtId="0" fontId="12" fillId="11" borderId="0" xfId="0" applyFont="1" applyFill="1" applyProtection="1">
      <protection hidden="1"/>
    </xf>
    <xf numFmtId="0" fontId="0" fillId="20" borderId="31" xfId="0" applyFill="1" applyBorder="1" applyProtection="1">
      <protection hidden="1"/>
    </xf>
    <xf numFmtId="0" fontId="11" fillId="17" borderId="0" xfId="7" applyFill="1" applyProtection="1">
      <protection locked="0" hidden="1"/>
    </xf>
    <xf numFmtId="0" fontId="11" fillId="0" borderId="0" xfId="7" applyProtection="1">
      <protection locked="0" hidden="1"/>
    </xf>
    <xf numFmtId="0" fontId="11" fillId="10" borderId="0" xfId="7" applyFill="1" applyProtection="1">
      <protection locked="0" hidden="1"/>
    </xf>
    <xf numFmtId="0" fontId="8" fillId="0" borderId="0" xfId="2" applyFill="1" applyAlignment="1" applyProtection="1">
      <protection locked="0" hidden="1"/>
    </xf>
    <xf numFmtId="0" fontId="40" fillId="0" borderId="0" xfId="0" applyFont="1" applyProtection="1">
      <protection locked="0" hidden="1"/>
    </xf>
    <xf numFmtId="0" fontId="41" fillId="0" borderId="0" xfId="7" applyFont="1" applyProtection="1">
      <protection locked="0" hidden="1"/>
    </xf>
    <xf numFmtId="0" fontId="0" fillId="0" borderId="0" xfId="0" applyProtection="1">
      <protection locked="0"/>
    </xf>
    <xf numFmtId="0" fontId="14" fillId="0" borderId="0" xfId="0" applyFont="1" applyProtection="1">
      <protection locked="0"/>
    </xf>
    <xf numFmtId="0" fontId="42" fillId="0" borderId="0" xfId="0" applyFont="1" applyAlignment="1" applyProtection="1">
      <alignment horizontal="center" vertical="center" textRotation="90" wrapText="1"/>
      <protection locked="0"/>
    </xf>
    <xf numFmtId="0" fontId="43" fillId="0" borderId="0" xfId="0" applyFont="1" applyAlignment="1" applyProtection="1">
      <alignment vertical="center"/>
      <protection hidden="1"/>
    </xf>
    <xf numFmtId="0" fontId="44" fillId="0" borderId="0" xfId="0" applyFont="1" applyAlignment="1" applyProtection="1">
      <alignment vertical="center"/>
      <protection hidden="1"/>
    </xf>
    <xf numFmtId="0" fontId="21" fillId="0" borderId="0" xfId="0" applyFont="1" applyAlignment="1" applyProtection="1">
      <alignment vertical="center"/>
      <protection locked="0" hidden="1"/>
    </xf>
    <xf numFmtId="0" fontId="37" fillId="17" borderId="0" xfId="7" applyFont="1" applyFill="1" applyAlignment="1" applyProtection="1">
      <alignment vertical="center"/>
      <protection locked="0" hidden="1"/>
    </xf>
    <xf numFmtId="0" fontId="12" fillId="0" borderId="0" xfId="0" applyFont="1" applyAlignment="1" applyProtection="1">
      <alignment vertical="center"/>
      <protection locked="0" hidden="1"/>
    </xf>
    <xf numFmtId="49" fontId="12" fillId="0" borderId="0" xfId="0" applyNumberFormat="1" applyFont="1" applyAlignment="1" applyProtection="1">
      <alignment vertical="center"/>
      <protection locked="0" hidden="1"/>
    </xf>
    <xf numFmtId="0" fontId="37" fillId="0" borderId="0" xfId="7" applyFont="1" applyAlignment="1" applyProtection="1">
      <alignment vertical="center"/>
      <protection locked="0" hidden="1"/>
    </xf>
    <xf numFmtId="0" fontId="21" fillId="17" borderId="0" xfId="0" applyFont="1" applyFill="1" applyAlignment="1" applyProtection="1">
      <alignment vertical="center"/>
      <protection locked="0" hidden="1"/>
    </xf>
    <xf numFmtId="0" fontId="0" fillId="17" borderId="0" xfId="0" applyFill="1" applyAlignment="1" applyProtection="1">
      <alignment vertical="center"/>
      <protection locked="0" hidden="1"/>
    </xf>
    <xf numFmtId="0" fontId="45" fillId="17" borderId="0" xfId="0" applyFont="1" applyFill="1" applyAlignment="1" applyProtection="1">
      <alignment vertical="center" wrapText="1"/>
      <protection locked="0" hidden="1"/>
    </xf>
    <xf numFmtId="0" fontId="12" fillId="17" borderId="0" xfId="0" applyFont="1" applyFill="1" applyAlignment="1" applyProtection="1">
      <alignment vertical="center"/>
      <protection locked="0" hidden="1"/>
    </xf>
    <xf numFmtId="0" fontId="26" fillId="17" borderId="0" xfId="0" applyFont="1" applyFill="1" applyAlignment="1" applyProtection="1">
      <alignment vertical="center"/>
      <protection locked="0" hidden="1"/>
    </xf>
    <xf numFmtId="0" fontId="28" fillId="0" borderId="0" xfId="0" applyFont="1" applyAlignment="1" applyProtection="1">
      <alignment vertical="center"/>
      <protection locked="0" hidden="1"/>
    </xf>
    <xf numFmtId="0" fontId="26" fillId="0" borderId="0" xfId="0" applyFont="1" applyAlignment="1" applyProtection="1">
      <alignment vertical="center"/>
      <protection locked="0" hidden="1"/>
    </xf>
    <xf numFmtId="0" fontId="31" fillId="0" borderId="0" xfId="0" applyFont="1" applyAlignment="1" applyProtection="1">
      <alignment vertical="center"/>
      <protection locked="0" hidden="1"/>
    </xf>
    <xf numFmtId="0" fontId="36" fillId="0" borderId="0" xfId="8" applyFont="1" applyAlignment="1" applyProtection="1">
      <alignment vertical="center" wrapText="1"/>
      <protection locked="0" hidden="1"/>
    </xf>
    <xf numFmtId="0" fontId="32" fillId="0" borderId="0" xfId="7" applyFont="1" applyProtection="1">
      <protection locked="0" hidden="1"/>
    </xf>
    <xf numFmtId="0" fontId="35" fillId="0" borderId="63" xfId="0" applyFont="1" applyBorder="1" applyAlignment="1" applyProtection="1">
      <alignment vertical="center"/>
      <protection hidden="1"/>
    </xf>
    <xf numFmtId="0" fontId="23" fillId="0" borderId="0" xfId="0" applyFont="1" applyProtection="1">
      <protection locked="0"/>
    </xf>
    <xf numFmtId="0" fontId="24"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hidden="1"/>
    </xf>
    <xf numFmtId="49" fontId="16" fillId="0" borderId="0" xfId="0" applyNumberFormat="1" applyFont="1" applyAlignment="1" applyProtection="1">
      <alignment vertical="center"/>
      <protection locked="0" hidden="1"/>
    </xf>
    <xf numFmtId="0" fontId="6" fillId="0" borderId="0" xfId="0" applyFont="1" applyAlignment="1">
      <alignment horizontal="right" vertical="center"/>
    </xf>
    <xf numFmtId="0" fontId="0" fillId="0" borderId="0" xfId="0" applyAlignment="1" applyProtection="1">
      <alignment horizontal="center" vertical="center"/>
      <protection hidden="1"/>
    </xf>
    <xf numFmtId="0" fontId="29" fillId="0" borderId="0" xfId="0" applyFont="1" applyAlignment="1" applyProtection="1">
      <alignment horizontal="center" vertical="center"/>
      <protection hidden="1"/>
    </xf>
    <xf numFmtId="49" fontId="12" fillId="0" borderId="0" xfId="0" applyNumberFormat="1"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21" borderId="0" xfId="0" applyFont="1" applyFill="1" applyAlignment="1" applyProtection="1">
      <alignment vertical="center"/>
      <protection locked="0" hidden="1"/>
    </xf>
    <xf numFmtId="0" fontId="0" fillId="0" borderId="12" xfId="0" applyBorder="1" applyAlignment="1" applyProtection="1">
      <alignment horizontal="center" vertical="center"/>
      <protection locked="0" hidden="1"/>
    </xf>
    <xf numFmtId="0" fontId="0" fillId="0" borderId="14" xfId="0"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0" fontId="14" fillId="0" borderId="1" xfId="0" applyFont="1" applyBorder="1" applyProtection="1">
      <protection locked="0"/>
    </xf>
    <xf numFmtId="0" fontId="14" fillId="0" borderId="2" xfId="0" applyFont="1" applyBorder="1" applyProtection="1">
      <protection locked="0"/>
    </xf>
    <xf numFmtId="0" fontId="14" fillId="0" borderId="3" xfId="0" applyFont="1" applyBorder="1" applyProtection="1">
      <protection locked="0"/>
    </xf>
    <xf numFmtId="0" fontId="14" fillId="0" borderId="26"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lignment horizontal="right"/>
    </xf>
    <xf numFmtId="0" fontId="0" fillId="0" borderId="0" xfId="0" applyAlignment="1">
      <alignment horizontal="center"/>
    </xf>
    <xf numFmtId="0" fontId="0" fillId="0" borderId="0" xfId="0" applyAlignment="1" applyProtection="1">
      <alignment horizontal="left"/>
      <protection locked="0"/>
    </xf>
    <xf numFmtId="0" fontId="14" fillId="0" borderId="25" xfId="13" applyFont="1" applyBorder="1" applyAlignment="1" applyProtection="1">
      <alignment vertical="center"/>
      <protection locked="0"/>
    </xf>
    <xf numFmtId="0" fontId="14" fillId="0" borderId="3" xfId="13" applyFont="1" applyBorder="1" applyAlignment="1" applyProtection="1">
      <alignment vertical="center"/>
      <protection locked="0"/>
    </xf>
    <xf numFmtId="0" fontId="14" fillId="0" borderId="3" xfId="13" applyFont="1" applyBorder="1" applyAlignment="1" applyProtection="1">
      <alignment horizontal="left" vertical="center"/>
      <protection locked="0"/>
    </xf>
    <xf numFmtId="0" fontId="14" fillId="0" borderId="3" xfId="13" applyFont="1" applyBorder="1" applyAlignment="1" applyProtection="1">
      <alignment horizontal="left"/>
      <protection locked="0"/>
    </xf>
    <xf numFmtId="1" fontId="14" fillId="0" borderId="3" xfId="0" applyNumberFormat="1" applyFont="1" applyBorder="1" applyProtection="1">
      <protection locked="0"/>
    </xf>
    <xf numFmtId="0" fontId="14" fillId="0" borderId="0" xfId="13" applyFont="1" applyAlignment="1" applyProtection="1">
      <alignment horizontal="left" vertical="center"/>
      <protection locked="0"/>
    </xf>
    <xf numFmtId="0" fontId="14" fillId="0" borderId="0" xfId="13" applyFont="1" applyProtection="1">
      <protection locked="0"/>
    </xf>
    <xf numFmtId="2" fontId="14" fillId="0" borderId="0" xfId="0" applyNumberFormat="1" applyFont="1" applyProtection="1">
      <protection locked="0"/>
    </xf>
    <xf numFmtId="1" fontId="14" fillId="0" borderId="0" xfId="0" applyNumberFormat="1" applyFont="1" applyProtection="1">
      <protection locked="0"/>
    </xf>
    <xf numFmtId="0" fontId="14" fillId="0" borderId="0" xfId="13" applyFont="1" applyAlignment="1" applyProtection="1">
      <alignment vertical="center"/>
      <protection locked="0"/>
    </xf>
    <xf numFmtId="0" fontId="14" fillId="0" borderId="34" xfId="13" applyFont="1" applyBorder="1" applyProtection="1">
      <protection locked="0"/>
    </xf>
    <xf numFmtId="0" fontId="14" fillId="0" borderId="35" xfId="13" applyFont="1" applyBorder="1" applyProtection="1">
      <protection locked="0"/>
    </xf>
    <xf numFmtId="0" fontId="14" fillId="0" borderId="28" xfId="0" applyFont="1" applyBorder="1" applyProtection="1">
      <protection locked="0"/>
    </xf>
    <xf numFmtId="2" fontId="14" fillId="0" borderId="28" xfId="0" applyNumberFormat="1" applyFont="1" applyBorder="1" applyProtection="1">
      <protection locked="0"/>
    </xf>
    <xf numFmtId="1" fontId="14" fillId="0" borderId="28" xfId="0" applyNumberFormat="1" applyFont="1" applyBorder="1" applyProtection="1">
      <protection locked="0"/>
    </xf>
    <xf numFmtId="0" fontId="14" fillId="0" borderId="26" xfId="13" applyFont="1" applyBorder="1" applyProtection="1">
      <protection locked="0"/>
    </xf>
    <xf numFmtId="0" fontId="14" fillId="0" borderId="0" xfId="13" applyFont="1" applyAlignment="1" applyProtection="1">
      <alignment horizontal="left"/>
      <protection locked="0"/>
    </xf>
    <xf numFmtId="0" fontId="14" fillId="0" borderId="0" xfId="9" applyFont="1" applyAlignment="1" applyProtection="1">
      <alignment horizontal="left"/>
      <protection locked="0"/>
    </xf>
    <xf numFmtId="0" fontId="46" fillId="0" borderId="0" xfId="13" applyFont="1"/>
    <xf numFmtId="49" fontId="0" fillId="0" borderId="0" xfId="0" applyNumberFormat="1" applyProtection="1">
      <protection locked="0"/>
    </xf>
    <xf numFmtId="0" fontId="47" fillId="0" borderId="0" xfId="1" applyFont="1" applyFill="1" applyBorder="1" applyAlignment="1" applyProtection="1">
      <alignment horizontal="left"/>
      <protection locked="0"/>
    </xf>
    <xf numFmtId="0" fontId="0" fillId="0" borderId="0" xfId="0" applyAlignment="1" applyProtection="1">
      <alignment wrapText="1"/>
      <protection locked="0"/>
    </xf>
    <xf numFmtId="0" fontId="14" fillId="0" borderId="0" xfId="13" quotePrefix="1" applyFont="1" applyProtection="1">
      <protection locked="0"/>
    </xf>
    <xf numFmtId="0" fontId="48" fillId="0" borderId="0" xfId="0" applyFont="1"/>
    <xf numFmtId="0" fontId="49" fillId="10" borderId="0" xfId="7" applyFont="1" applyFill="1" applyAlignment="1" applyProtection="1">
      <alignment horizontal="center" vertical="center"/>
      <protection hidden="1"/>
    </xf>
    <xf numFmtId="0" fontId="50" fillId="0" borderId="0" xfId="0" applyFont="1" applyAlignment="1" applyProtection="1">
      <alignment horizontal="center" vertical="center" textRotation="90"/>
      <protection locked="0"/>
    </xf>
    <xf numFmtId="0" fontId="0" fillId="0" borderId="3" xfId="0" applyBorder="1" applyProtection="1">
      <protection locked="0"/>
    </xf>
    <xf numFmtId="0" fontId="41" fillId="0" borderId="0" xfId="7" applyFont="1" applyProtection="1">
      <protection hidden="1"/>
    </xf>
    <xf numFmtId="0" fontId="48" fillId="0" borderId="0" xfId="0" applyFont="1" applyAlignment="1">
      <alignment wrapText="1"/>
    </xf>
    <xf numFmtId="0" fontId="51" fillId="0" borderId="0" xfId="0" applyFont="1" applyAlignment="1">
      <alignment horizontal="left" vertical="center"/>
    </xf>
    <xf numFmtId="0" fontId="5" fillId="0" borderId="0" xfId="13" applyFont="1" applyAlignment="1" applyProtection="1">
      <alignment vertical="center"/>
      <protection locked="0"/>
    </xf>
    <xf numFmtId="0" fontId="20" fillId="0" borderId="0" xfId="0" applyFont="1" applyAlignment="1" applyProtection="1">
      <alignment horizontal="center" vertical="center"/>
      <protection hidden="1"/>
    </xf>
    <xf numFmtId="0" fontId="0" fillId="0" borderId="36" xfId="0" applyBorder="1"/>
    <xf numFmtId="0" fontId="0" fillId="0" borderId="28" xfId="0" applyBorder="1"/>
    <xf numFmtId="0" fontId="0" fillId="0" borderId="37" xfId="0" applyBorder="1"/>
    <xf numFmtId="0" fontId="0" fillId="0" borderId="0" xfId="0" applyAlignment="1">
      <alignment vertical="center" wrapText="1"/>
    </xf>
    <xf numFmtId="0" fontId="0" fillId="0" borderId="0" xfId="0" applyAlignment="1">
      <alignment wrapText="1"/>
    </xf>
    <xf numFmtId="0" fontId="0" fillId="22" borderId="0" xfId="0" applyFill="1" applyAlignment="1" applyProtection="1">
      <alignment vertical="center"/>
      <protection hidden="1"/>
    </xf>
    <xf numFmtId="0" fontId="52" fillId="0" borderId="0" xfId="0" applyFont="1" applyAlignment="1">
      <alignment horizontal="left" vertical="center"/>
    </xf>
    <xf numFmtId="0" fontId="0" fillId="16" borderId="0" xfId="0" applyFill="1" applyAlignment="1" applyProtection="1">
      <alignment vertical="center"/>
      <protection hidden="1"/>
    </xf>
    <xf numFmtId="0" fontId="30" fillId="22" borderId="58" xfId="0" applyFont="1" applyFill="1" applyBorder="1" applyAlignment="1" applyProtection="1">
      <alignment vertical="top"/>
      <protection hidden="1"/>
    </xf>
    <xf numFmtId="0" fontId="30" fillId="22" borderId="57" xfId="0" applyFont="1" applyFill="1" applyBorder="1" applyAlignment="1" applyProtection="1">
      <alignment vertical="top"/>
      <protection hidden="1"/>
    </xf>
    <xf numFmtId="0" fontId="30" fillId="22" borderId="57" xfId="0" applyFont="1" applyFill="1" applyBorder="1" applyProtection="1">
      <protection hidden="1"/>
    </xf>
    <xf numFmtId="0" fontId="35" fillId="0" borderId="58" xfId="0" applyFont="1" applyBorder="1" applyAlignment="1" applyProtection="1">
      <alignment horizontal="right" vertical="center"/>
      <protection hidden="1"/>
    </xf>
    <xf numFmtId="0" fontId="35" fillId="0" borderId="57" xfId="0" applyFont="1" applyBorder="1" applyAlignment="1" applyProtection="1">
      <alignment horizontal="right" vertical="center"/>
      <protection hidden="1"/>
    </xf>
    <xf numFmtId="0" fontId="53" fillId="0" borderId="0" xfId="0" applyFont="1" applyAlignment="1" applyProtection="1">
      <alignment horizontal="center" vertical="center" textRotation="90"/>
      <protection locked="0"/>
    </xf>
    <xf numFmtId="0" fontId="54" fillId="0" borderId="0" xfId="0" applyFont="1" applyAlignment="1">
      <alignment horizontal="left" vertical="center"/>
    </xf>
    <xf numFmtId="0" fontId="35" fillId="5" borderId="64" xfId="0" applyFont="1" applyFill="1" applyBorder="1" applyAlignment="1" applyProtection="1">
      <alignment vertical="center"/>
      <protection hidden="1"/>
    </xf>
    <xf numFmtId="0" fontId="45" fillId="0" borderId="0" xfId="0" applyFont="1"/>
    <xf numFmtId="0" fontId="0" fillId="0" borderId="38" xfId="0" applyBorder="1" applyAlignment="1" applyProtection="1">
      <alignment vertical="center"/>
      <protection hidden="1"/>
    </xf>
    <xf numFmtId="0" fontId="51" fillId="0" borderId="0" xfId="0" applyFont="1" applyAlignment="1">
      <alignment horizontal="left" vertical="center" wrapText="1"/>
    </xf>
    <xf numFmtId="0" fontId="5" fillId="0" borderId="0" xfId="13" applyFont="1" applyAlignment="1" applyProtection="1">
      <alignment horizontal="left"/>
      <protection locked="0"/>
    </xf>
    <xf numFmtId="0" fontId="71" fillId="0" borderId="0" xfId="0" applyFont="1" applyAlignment="1">
      <alignment vertical="center"/>
    </xf>
    <xf numFmtId="0" fontId="45" fillId="0" borderId="0" xfId="0" applyFont="1" applyProtection="1">
      <protection hidden="1"/>
    </xf>
    <xf numFmtId="0" fontId="0" fillId="0" borderId="0" xfId="0" applyAlignment="1" applyProtection="1">
      <alignment vertical="top"/>
      <protection hidden="1"/>
    </xf>
    <xf numFmtId="0" fontId="13" fillId="0" borderId="52" xfId="0" applyFont="1" applyBorder="1" applyProtection="1">
      <protection hidden="1"/>
    </xf>
    <xf numFmtId="0" fontId="13" fillId="0" borderId="53" xfId="0" applyFont="1" applyBorder="1" applyProtection="1">
      <protection hidden="1"/>
    </xf>
    <xf numFmtId="0" fontId="13" fillId="5" borderId="29"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left" vertical="center"/>
      <protection hidden="1"/>
    </xf>
    <xf numFmtId="0" fontId="6" fillId="0" borderId="0" xfId="0" applyFont="1" applyAlignment="1" applyProtection="1">
      <alignment vertical="center"/>
      <protection hidden="1"/>
    </xf>
    <xf numFmtId="0" fontId="19" fillId="0" borderId="0" xfId="0" applyFont="1" applyProtection="1">
      <protection hidden="1"/>
    </xf>
    <xf numFmtId="0" fontId="42" fillId="0" borderId="0" xfId="0" applyFont="1" applyProtection="1">
      <protection hidden="1"/>
    </xf>
    <xf numFmtId="0" fontId="0" fillId="17" borderId="31" xfId="0" applyFill="1" applyBorder="1" applyProtection="1">
      <protection hidden="1"/>
    </xf>
    <xf numFmtId="0" fontId="0" fillId="26" borderId="0" xfId="0" applyFill="1"/>
    <xf numFmtId="0" fontId="0" fillId="27" borderId="0" xfId="0" applyFill="1"/>
    <xf numFmtId="0" fontId="0" fillId="3" borderId="0" xfId="0" applyFill="1"/>
    <xf numFmtId="0" fontId="6" fillId="20" borderId="31" xfId="0" applyFont="1" applyFill="1" applyBorder="1" applyProtection="1">
      <protection hidden="1"/>
    </xf>
    <xf numFmtId="0" fontId="0" fillId="0" borderId="0" xfId="0" quotePrefix="1"/>
    <xf numFmtId="0" fontId="71" fillId="0" borderId="0" xfId="0" quotePrefix="1" applyFont="1" applyAlignment="1">
      <alignment vertical="center"/>
    </xf>
    <xf numFmtId="0" fontId="73" fillId="0" borderId="0" xfId="0" applyFont="1" applyAlignment="1">
      <alignment horizontal="left" vertical="center"/>
    </xf>
    <xf numFmtId="0" fontId="46" fillId="0" borderId="3" xfId="13" applyFont="1" applyBorder="1" applyAlignment="1">
      <alignment vertical="center"/>
    </xf>
    <xf numFmtId="0" fontId="63" fillId="0" borderId="0" xfId="0" applyFont="1" applyAlignment="1" applyProtection="1">
      <alignment vertical="center" wrapText="1"/>
      <protection hidden="1"/>
    </xf>
    <xf numFmtId="0" fontId="14" fillId="0" borderId="0" xfId="0" applyFont="1" applyAlignment="1" applyProtection="1">
      <alignment horizontal="center"/>
      <protection locked="0"/>
    </xf>
    <xf numFmtId="0" fontId="18" fillId="0" borderId="0" xfId="0" applyFont="1" applyAlignment="1" applyProtection="1">
      <alignment horizontal="right"/>
      <protection hidden="1"/>
    </xf>
    <xf numFmtId="0" fontId="74" fillId="28" borderId="0" xfId="0" applyFont="1" applyFill="1"/>
    <xf numFmtId="0" fontId="12" fillId="8" borderId="0" xfId="0" applyFont="1" applyFill="1" applyAlignment="1" applyProtection="1">
      <alignment vertical="center"/>
      <protection locked="0" hidden="1"/>
    </xf>
    <xf numFmtId="0" fontId="13" fillId="11" borderId="29" xfId="0" applyFont="1" applyFill="1" applyBorder="1" applyProtection="1">
      <protection locked="0" hidden="1"/>
    </xf>
    <xf numFmtId="0" fontId="9" fillId="10" borderId="29" xfId="0" applyFont="1" applyFill="1" applyBorder="1" applyAlignment="1" applyProtection="1">
      <alignment vertical="center"/>
      <protection hidden="1"/>
    </xf>
    <xf numFmtId="0" fontId="34" fillId="0" borderId="0" xfId="0" applyFont="1" applyProtection="1">
      <protection locked="0" hidden="1"/>
    </xf>
    <xf numFmtId="0" fontId="18" fillId="17" borderId="0" xfId="0" applyFont="1" applyFill="1" applyAlignment="1" applyProtection="1">
      <alignment vertical="center"/>
      <protection hidden="1"/>
    </xf>
    <xf numFmtId="43" fontId="13" fillId="11" borderId="29" xfId="19" applyFont="1" applyFill="1" applyBorder="1" applyAlignment="1" applyProtection="1">
      <protection hidden="1"/>
    </xf>
    <xf numFmtId="0" fontId="0" fillId="10" borderId="60" xfId="0" applyFill="1" applyBorder="1" applyProtection="1">
      <protection hidden="1"/>
    </xf>
    <xf numFmtId="0" fontId="18" fillId="0" borderId="0" xfId="0" applyFont="1" applyProtection="1">
      <protection hidden="1"/>
    </xf>
    <xf numFmtId="0" fontId="13" fillId="11" borderId="50" xfId="0" applyFont="1" applyFill="1" applyBorder="1" applyProtection="1">
      <protection hidden="1"/>
    </xf>
    <xf numFmtId="0" fontId="13" fillId="11" borderId="29" xfId="0" applyFont="1" applyFill="1" applyBorder="1" applyProtection="1">
      <protection hidden="1"/>
    </xf>
    <xf numFmtId="1" fontId="14" fillId="0" borderId="3" xfId="0" applyNumberFormat="1" applyFont="1" applyBorder="1" applyAlignment="1" applyProtection="1">
      <alignment wrapText="1"/>
      <protection locked="0"/>
    </xf>
    <xf numFmtId="0" fontId="14" fillId="8" borderId="3" xfId="0" applyFont="1" applyFill="1" applyBorder="1" applyProtection="1">
      <protection locked="0"/>
    </xf>
    <xf numFmtId="0" fontId="74" fillId="29" borderId="0" xfId="0" applyFont="1" applyFill="1"/>
    <xf numFmtId="0" fontId="14" fillId="8" borderId="0" xfId="0" applyFont="1" applyFill="1" applyAlignment="1" applyProtection="1">
      <alignment horizontal="center"/>
      <protection locked="0"/>
    </xf>
    <xf numFmtId="0" fontId="14" fillId="0" borderId="15" xfId="13" applyFont="1" applyBorder="1" applyProtection="1">
      <protection locked="0"/>
    </xf>
    <xf numFmtId="0" fontId="14" fillId="0" borderId="7" xfId="13" applyFont="1" applyBorder="1" applyProtection="1">
      <protection locked="0"/>
    </xf>
    <xf numFmtId="0" fontId="14" fillId="0" borderId="78" xfId="13" applyFont="1" applyBorder="1" applyProtection="1">
      <protection locked="0"/>
    </xf>
    <xf numFmtId="0" fontId="0" fillId="30" borderId="0" xfId="0" applyFill="1"/>
    <xf numFmtId="0" fontId="17" fillId="0" borderId="0" xfId="0" applyFont="1" applyAlignment="1" applyProtection="1">
      <alignment vertical="center"/>
      <protection locked="0" hidden="1"/>
    </xf>
    <xf numFmtId="0" fontId="21" fillId="8" borderId="0" xfId="0" applyFont="1" applyFill="1" applyAlignment="1" applyProtection="1">
      <alignment vertical="center"/>
      <protection locked="0" hidden="1"/>
    </xf>
    <xf numFmtId="0" fontId="63" fillId="8" borderId="0" xfId="0" applyFont="1" applyFill="1" applyAlignment="1" applyProtection="1">
      <alignment vertical="center" wrapText="1"/>
      <protection hidden="1"/>
    </xf>
    <xf numFmtId="0" fontId="16" fillId="8" borderId="0" xfId="0" applyFont="1" applyFill="1" applyAlignment="1" applyProtection="1">
      <alignment vertical="center"/>
      <protection locked="0" hidden="1"/>
    </xf>
    <xf numFmtId="0" fontId="16" fillId="0" borderId="3" xfId="0" applyFont="1" applyBorder="1" applyAlignment="1" applyProtection="1">
      <alignment vertical="center"/>
      <protection locked="0" hidden="1"/>
    </xf>
    <xf numFmtId="0" fontId="16" fillId="8" borderId="3" xfId="0" applyFont="1" applyFill="1" applyBorder="1" applyAlignment="1" applyProtection="1">
      <alignment vertical="center"/>
      <protection locked="0" hidden="1"/>
    </xf>
    <xf numFmtId="0" fontId="0" fillId="0" borderId="3" xfId="0" applyBorder="1" applyAlignment="1" applyProtection="1">
      <alignment vertical="center"/>
      <protection hidden="1"/>
    </xf>
    <xf numFmtId="0" fontId="0" fillId="0" borderId="3" xfId="0" applyBorder="1" applyAlignment="1" applyProtection="1">
      <alignment vertical="center"/>
      <protection locked="0" hidden="1"/>
    </xf>
    <xf numFmtId="0" fontId="0" fillId="31" borderId="3" xfId="0" applyFill="1" applyBorder="1" applyAlignment="1" applyProtection="1">
      <alignment vertical="center"/>
      <protection locked="0" hidden="1"/>
    </xf>
    <xf numFmtId="0" fontId="77" fillId="0" borderId="0" xfId="0" applyFont="1" applyAlignment="1" applyProtection="1">
      <alignment vertical="center"/>
      <protection hidden="1"/>
    </xf>
    <xf numFmtId="0" fontId="14" fillId="0" borderId="0" xfId="0" applyFont="1" applyAlignment="1" applyProtection="1">
      <alignment wrapText="1"/>
      <protection hidden="1"/>
    </xf>
    <xf numFmtId="0" fontId="22" fillId="0" borderId="0" xfId="0" applyFont="1" applyProtection="1">
      <protection hidden="1"/>
    </xf>
    <xf numFmtId="0" fontId="13" fillId="0" borderId="0" xfId="0" applyFont="1" applyProtection="1">
      <protection locked="0" hidden="1"/>
    </xf>
    <xf numFmtId="0" fontId="0" fillId="5" borderId="0" xfId="0" applyFill="1" applyProtection="1">
      <protection hidden="1"/>
    </xf>
    <xf numFmtId="0" fontId="13" fillId="5" borderId="0" xfId="0" applyFont="1" applyFill="1" applyProtection="1">
      <protection hidden="1"/>
    </xf>
    <xf numFmtId="0" fontId="0" fillId="0" borderId="53" xfId="0" applyBorder="1" applyProtection="1">
      <protection hidden="1"/>
    </xf>
    <xf numFmtId="0" fontId="0" fillId="5" borderId="53" xfId="0" applyFill="1" applyBorder="1" applyProtection="1">
      <protection hidden="1"/>
    </xf>
    <xf numFmtId="0" fontId="13" fillId="0" borderId="0" xfId="0" applyFont="1" applyAlignment="1" applyProtection="1">
      <alignment wrapText="1"/>
      <protection locked="0"/>
    </xf>
    <xf numFmtId="0" fontId="21" fillId="0" borderId="0" xfId="0" applyFont="1" applyProtection="1">
      <protection locked="0" hidden="1"/>
    </xf>
    <xf numFmtId="0" fontId="0" fillId="17" borderId="0" xfId="0" applyFill="1" applyProtection="1">
      <protection locked="0" hidden="1"/>
    </xf>
    <xf numFmtId="0" fontId="21" fillId="17" borderId="0" xfId="0" applyFont="1" applyFill="1" applyProtection="1">
      <protection locked="0" hidden="1"/>
    </xf>
    <xf numFmtId="0" fontId="0" fillId="0" borderId="0" xfId="0" applyAlignment="1" applyProtection="1">
      <alignment horizontal="center"/>
      <protection locked="0" hidden="1"/>
    </xf>
    <xf numFmtId="0" fontId="75" fillId="0" borderId="0" xfId="20" applyProtection="1">
      <protection locked="0"/>
    </xf>
    <xf numFmtId="165" fontId="75" fillId="0" borderId="0" xfId="20" applyNumberFormat="1" applyAlignment="1" applyProtection="1">
      <alignment horizontal="center"/>
      <protection locked="0"/>
    </xf>
    <xf numFmtId="166" fontId="75" fillId="0" borderId="0" xfId="20" applyNumberFormat="1" applyAlignment="1" applyProtection="1">
      <alignment horizontal="center"/>
      <protection locked="0"/>
    </xf>
    <xf numFmtId="49" fontId="75" fillId="0" borderId="0" xfId="20" applyNumberFormat="1" applyProtection="1">
      <protection locked="0"/>
    </xf>
    <xf numFmtId="0" fontId="21" fillId="0" borderId="3" xfId="0" applyFont="1" applyBorder="1" applyProtection="1">
      <protection hidden="1"/>
    </xf>
    <xf numFmtId="0" fontId="13" fillId="0" borderId="0" xfId="0" applyFont="1" applyAlignment="1" applyProtection="1">
      <alignment horizontal="center"/>
      <protection hidden="1"/>
    </xf>
    <xf numFmtId="0" fontId="13" fillId="17" borderId="0" xfId="0" applyFont="1" applyFill="1" applyAlignment="1" applyProtection="1">
      <alignment horizontal="left"/>
      <protection hidden="1"/>
    </xf>
    <xf numFmtId="0" fontId="66" fillId="17" borderId="0" xfId="0" applyFont="1" applyFill="1" applyAlignment="1" applyProtection="1">
      <alignment horizontal="center"/>
      <protection hidden="1"/>
    </xf>
    <xf numFmtId="0" fontId="13" fillId="0" borderId="0" xfId="0" applyFont="1" applyAlignment="1" applyProtection="1">
      <alignment vertical="top"/>
      <protection hidden="1"/>
    </xf>
    <xf numFmtId="0" fontId="66" fillId="0" borderId="0" xfId="0" applyFont="1" applyProtection="1">
      <protection hidden="1"/>
    </xf>
    <xf numFmtId="0" fontId="66" fillId="17" borderId="0" xfId="0" applyFont="1" applyFill="1" applyProtection="1">
      <protection hidden="1"/>
    </xf>
    <xf numFmtId="2" fontId="43" fillId="17" borderId="0" xfId="0" applyNumberFormat="1" applyFont="1" applyFill="1" applyAlignment="1" applyProtection="1">
      <alignment vertical="center"/>
      <protection hidden="1"/>
    </xf>
    <xf numFmtId="0" fontId="13" fillId="10" borderId="0" xfId="0" applyFont="1" applyFill="1" applyAlignment="1" applyProtection="1">
      <alignment vertical="center"/>
      <protection hidden="1"/>
    </xf>
    <xf numFmtId="2" fontId="35" fillId="11" borderId="0" xfId="0" applyNumberFormat="1" applyFont="1" applyFill="1" applyAlignment="1" applyProtection="1">
      <alignment vertical="center"/>
      <protection hidden="1"/>
    </xf>
    <xf numFmtId="0" fontId="13" fillId="10" borderId="0" xfId="0" applyFont="1" applyFill="1" applyProtection="1">
      <protection hidden="1"/>
    </xf>
    <xf numFmtId="0" fontId="0" fillId="0" borderId="22" xfId="0" applyBorder="1" applyAlignment="1" applyProtection="1">
      <alignment vertical="center" textRotation="90"/>
      <protection hidden="1"/>
    </xf>
    <xf numFmtId="9" fontId="35" fillId="0" borderId="0" xfId="0" applyNumberFormat="1" applyFont="1" applyAlignment="1" applyProtection="1">
      <alignment vertical="center"/>
      <protection hidden="1"/>
    </xf>
    <xf numFmtId="0" fontId="0" fillId="0" borderId="3" xfId="0" applyBorder="1" applyAlignment="1">
      <alignment horizontal="center"/>
    </xf>
    <xf numFmtId="0" fontId="71" fillId="17" borderId="3" xfId="0" applyFont="1" applyFill="1" applyBorder="1" applyAlignment="1">
      <alignment horizontal="center" vertical="center"/>
    </xf>
    <xf numFmtId="0" fontId="81" fillId="0" borderId="0" xfId="0" applyFont="1" applyAlignment="1">
      <alignment vertical="center"/>
    </xf>
    <xf numFmtId="0" fontId="19" fillId="0" borderId="0" xfId="0" applyFont="1"/>
    <xf numFmtId="167" fontId="0" fillId="0" borderId="0" xfId="0" applyNumberFormat="1" applyAlignment="1">
      <alignment horizontal="center"/>
    </xf>
    <xf numFmtId="0" fontId="79" fillId="17" borderId="81" xfId="0" applyFont="1" applyFill="1" applyBorder="1" applyAlignment="1">
      <alignment vertical="center"/>
    </xf>
    <xf numFmtId="0" fontId="6" fillId="0" borderId="33" xfId="0" applyFont="1" applyBorder="1"/>
    <xf numFmtId="0" fontId="0" fillId="0" borderId="0" xfId="0" applyAlignment="1" applyProtection="1">
      <alignment vertical="center" wrapText="1"/>
      <protection hidden="1"/>
    </xf>
    <xf numFmtId="0" fontId="13" fillId="0" borderId="0" xfId="0" applyFont="1" applyAlignment="1" applyProtection="1">
      <alignment vertical="center"/>
      <protection hidden="1"/>
    </xf>
    <xf numFmtId="0" fontId="10" fillId="0" borderId="0" xfId="0" applyFont="1"/>
    <xf numFmtId="0" fontId="10" fillId="0" borderId="0" xfId="0" applyFont="1" applyAlignment="1" applyProtection="1">
      <alignment horizontal="left"/>
      <protection locked="0"/>
    </xf>
    <xf numFmtId="0" fontId="10" fillId="0" borderId="0" xfId="0" applyFont="1" applyProtection="1">
      <protection locked="0"/>
    </xf>
    <xf numFmtId="49" fontId="10" fillId="0" borderId="0" xfId="0" applyNumberFormat="1" applyFont="1" applyProtection="1">
      <protection locked="0"/>
    </xf>
    <xf numFmtId="0" fontId="10" fillId="17" borderId="0" xfId="0" applyFont="1" applyFill="1"/>
    <xf numFmtId="0" fontId="10" fillId="0" borderId="0" xfId="0" applyFont="1" applyAlignment="1">
      <alignment vertical="top"/>
    </xf>
    <xf numFmtId="0" fontId="10" fillId="0" borderId="0" xfId="0" applyFont="1" applyAlignment="1">
      <alignment vertical="top" wrapText="1"/>
    </xf>
    <xf numFmtId="0" fontId="0" fillId="0" borderId="0" xfId="0" applyAlignment="1">
      <alignment vertical="top"/>
    </xf>
    <xf numFmtId="0" fontId="14" fillId="0" borderId="18" xfId="13" applyFont="1" applyBorder="1" applyAlignment="1" applyProtection="1">
      <alignment vertical="center"/>
      <protection locked="0"/>
    </xf>
    <xf numFmtId="1" fontId="13" fillId="11" borderId="0" xfId="17" applyNumberFormat="1" applyFont="1" applyFill="1" applyBorder="1" applyAlignment="1" applyProtection="1">
      <protection locked="0" hidden="1"/>
    </xf>
    <xf numFmtId="0" fontId="20" fillId="0" borderId="0" xfId="0" applyFont="1" applyAlignment="1" applyProtection="1">
      <alignment vertical="center"/>
      <protection hidden="1"/>
    </xf>
    <xf numFmtId="0" fontId="71" fillId="11" borderId="3" xfId="0" applyFont="1" applyFill="1" applyBorder="1" applyAlignment="1">
      <alignment horizontal="center" vertical="center"/>
    </xf>
    <xf numFmtId="0" fontId="0" fillId="11" borderId="3" xfId="0" applyFill="1" applyBorder="1" applyAlignment="1">
      <alignment horizontal="center" vertical="center"/>
    </xf>
    <xf numFmtId="0" fontId="0" fillId="0" borderId="79" xfId="0" applyBorder="1"/>
    <xf numFmtId="0" fontId="6" fillId="0" borderId="81" xfId="0" applyFont="1" applyBorder="1"/>
    <xf numFmtId="0" fontId="0" fillId="0" borderId="35" xfId="0" applyBorder="1" applyAlignment="1">
      <alignment horizontal="center"/>
    </xf>
    <xf numFmtId="0" fontId="79" fillId="17" borderId="79" xfId="0" applyFont="1" applyFill="1" applyBorder="1" applyAlignment="1">
      <alignment vertical="center"/>
    </xf>
    <xf numFmtId="0" fontId="0" fillId="0" borderId="80" xfId="0" applyBorder="1" applyAlignment="1">
      <alignment horizontal="center"/>
    </xf>
    <xf numFmtId="0" fontId="0" fillId="11" borderId="82" xfId="0" applyFill="1" applyBorder="1" applyAlignment="1">
      <alignment horizontal="center"/>
    </xf>
    <xf numFmtId="0" fontId="0" fillId="0" borderId="0" xfId="0" applyAlignment="1" applyProtection="1">
      <alignment horizontal="center"/>
      <protection hidden="1"/>
    </xf>
    <xf numFmtId="0" fontId="21" fillId="19" borderId="9" xfId="0" applyFont="1" applyFill="1" applyBorder="1" applyProtection="1">
      <protection hidden="1"/>
    </xf>
    <xf numFmtId="0" fontId="21" fillId="19" borderId="7" xfId="0" applyFont="1" applyFill="1" applyBorder="1" applyProtection="1">
      <protection hidden="1"/>
    </xf>
    <xf numFmtId="0" fontId="0" fillId="19" borderId="7" xfId="0" applyFill="1" applyBorder="1" applyProtection="1">
      <protection hidden="1"/>
    </xf>
    <xf numFmtId="0" fontId="0" fillId="19" borderId="10" xfId="0" applyFill="1" applyBorder="1" applyProtection="1">
      <protection hidden="1"/>
    </xf>
    <xf numFmtId="0" fontId="21" fillId="19" borderId="11" xfId="0" applyFont="1" applyFill="1" applyBorder="1" applyProtection="1">
      <protection hidden="1"/>
    </xf>
    <xf numFmtId="0" fontId="0" fillId="19" borderId="4" xfId="0" applyFill="1" applyBorder="1" applyProtection="1">
      <protection hidden="1"/>
    </xf>
    <xf numFmtId="0" fontId="6" fillId="19" borderId="12" xfId="0" applyFont="1" applyFill="1" applyBorder="1" applyAlignment="1" applyProtection="1">
      <alignment horizontal="center" vertical="center"/>
      <protection hidden="1"/>
    </xf>
    <xf numFmtId="0" fontId="18" fillId="19" borderId="14" xfId="0" applyFont="1" applyFill="1" applyBorder="1" applyAlignment="1" applyProtection="1">
      <alignment horizontal="center" vertical="center"/>
      <protection hidden="1"/>
    </xf>
    <xf numFmtId="0" fontId="21" fillId="19" borderId="3" xfId="0" applyFont="1" applyFill="1" applyBorder="1" applyProtection="1">
      <protection hidden="1"/>
    </xf>
    <xf numFmtId="0" fontId="21" fillId="19" borderId="13" xfId="0" applyFont="1" applyFill="1" applyBorder="1" applyProtection="1">
      <protection hidden="1"/>
    </xf>
    <xf numFmtId="0" fontId="0" fillId="19" borderId="88" xfId="0" applyFill="1" applyBorder="1" applyProtection="1">
      <protection hidden="1"/>
    </xf>
    <xf numFmtId="0" fontId="0" fillId="24" borderId="37" xfId="0" applyFill="1" applyBorder="1" applyAlignment="1" applyProtection="1">
      <alignment horizontal="center"/>
      <protection hidden="1"/>
    </xf>
    <xf numFmtId="0" fontId="0" fillId="22" borderId="37" xfId="0" applyFill="1" applyBorder="1" applyAlignment="1" applyProtection="1">
      <alignment horizontal="center"/>
      <protection hidden="1"/>
    </xf>
    <xf numFmtId="0" fontId="0" fillId="22" borderId="89" xfId="0" applyFill="1" applyBorder="1" applyAlignment="1" applyProtection="1">
      <alignment horizontal="center"/>
      <protection hidden="1"/>
    </xf>
    <xf numFmtId="0" fontId="21" fillId="19" borderId="3" xfId="0" applyFont="1" applyFill="1" applyBorder="1" applyAlignment="1" applyProtection="1">
      <alignment horizontal="center"/>
      <protection hidden="1"/>
    </xf>
    <xf numFmtId="0" fontId="0" fillId="0" borderId="81" xfId="0" applyBorder="1" applyAlignment="1" applyProtection="1">
      <alignment horizontal="center" wrapText="1"/>
      <protection hidden="1"/>
    </xf>
    <xf numFmtId="0" fontId="0" fillId="0" borderId="3" xfId="0" applyBorder="1" applyAlignment="1" applyProtection="1">
      <alignment horizontal="center"/>
      <protection hidden="1"/>
    </xf>
    <xf numFmtId="0" fontId="0" fillId="0" borderId="82" xfId="0" applyBorder="1" applyAlignment="1" applyProtection="1">
      <alignment horizontal="center"/>
      <protection hidden="1"/>
    </xf>
    <xf numFmtId="0" fontId="17" fillId="19" borderId="3" xfId="0" applyFont="1" applyFill="1" applyBorder="1" applyAlignment="1" applyProtection="1">
      <alignment horizontal="center" wrapText="1"/>
      <protection hidden="1"/>
    </xf>
    <xf numFmtId="0" fontId="17" fillId="19" borderId="18" xfId="0" applyFont="1" applyFill="1" applyBorder="1" applyAlignment="1" applyProtection="1">
      <alignment horizontal="center" wrapText="1"/>
      <protection hidden="1"/>
    </xf>
    <xf numFmtId="0" fontId="0" fillId="32" borderId="81" xfId="0" applyFill="1" applyBorder="1" applyProtection="1">
      <protection hidden="1"/>
    </xf>
    <xf numFmtId="0" fontId="0" fillId="32" borderId="3" xfId="0" applyFill="1" applyBorder="1" applyAlignment="1" applyProtection="1">
      <alignment horizontal="center"/>
      <protection hidden="1"/>
    </xf>
    <xf numFmtId="0" fontId="0" fillId="32" borderId="82" xfId="0" applyFill="1" applyBorder="1" applyAlignment="1" applyProtection="1">
      <alignment horizontal="center"/>
      <protection hidden="1"/>
    </xf>
    <xf numFmtId="0" fontId="21" fillId="19" borderId="81" xfId="0" applyFont="1" applyFill="1" applyBorder="1" applyProtection="1">
      <protection hidden="1"/>
    </xf>
    <xf numFmtId="0" fontId="86" fillId="19" borderId="3" xfId="0" applyFont="1" applyFill="1" applyBorder="1" applyAlignment="1" applyProtection="1">
      <alignment horizontal="center"/>
      <protection hidden="1"/>
    </xf>
    <xf numFmtId="0" fontId="21" fillId="24" borderId="3" xfId="0" applyFont="1" applyFill="1" applyBorder="1" applyProtection="1">
      <protection hidden="1"/>
    </xf>
    <xf numFmtId="2" fontId="87" fillId="19" borderId="3" xfId="0" applyNumberFormat="1" applyFont="1" applyFill="1" applyBorder="1" applyAlignment="1" applyProtection="1">
      <alignment horizontal="center"/>
      <protection hidden="1"/>
    </xf>
    <xf numFmtId="0" fontId="88" fillId="3" borderId="20"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0" fillId="3" borderId="18" xfId="0" applyFill="1" applyBorder="1" applyAlignment="1" applyProtection="1">
      <alignment horizontal="center"/>
      <protection hidden="1"/>
    </xf>
    <xf numFmtId="0" fontId="6" fillId="0" borderId="81"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85" xfId="0" applyBorder="1" applyAlignment="1" applyProtection="1">
      <alignment horizontal="center" vertical="center"/>
      <protection hidden="1"/>
    </xf>
    <xf numFmtId="0" fontId="0" fillId="0" borderId="86" xfId="0" applyBorder="1" applyAlignment="1" applyProtection="1">
      <alignment horizontal="center" vertical="center"/>
      <protection hidden="1"/>
    </xf>
    <xf numFmtId="0" fontId="0" fillId="0" borderId="87" xfId="0" applyBorder="1" applyAlignment="1" applyProtection="1">
      <alignment horizontal="center" vertical="center"/>
      <protection hidden="1"/>
    </xf>
    <xf numFmtId="0" fontId="0" fillId="19" borderId="36" xfId="0" applyFill="1" applyBorder="1" applyProtection="1">
      <protection hidden="1"/>
    </xf>
    <xf numFmtId="0" fontId="0" fillId="0" borderId="79" xfId="0" applyBorder="1" applyProtection="1">
      <protection hidden="1"/>
    </xf>
    <xf numFmtId="0" fontId="0" fillId="0" borderId="32" xfId="0" applyBorder="1" applyProtection="1">
      <protection hidden="1"/>
    </xf>
    <xf numFmtId="0" fontId="0" fillId="0" borderId="7" xfId="0" applyBorder="1" applyProtection="1">
      <protection hidden="1"/>
    </xf>
    <xf numFmtId="0" fontId="0" fillId="17" borderId="32" xfId="0" applyFill="1" applyBorder="1" applyProtection="1">
      <protection hidden="1"/>
    </xf>
    <xf numFmtId="0" fontId="0" fillId="0" borderId="33" xfId="0" applyBorder="1" applyProtection="1">
      <protection hidden="1"/>
    </xf>
    <xf numFmtId="0" fontId="0" fillId="0" borderId="34" xfId="0" applyBorder="1" applyProtection="1">
      <protection hidden="1"/>
    </xf>
    <xf numFmtId="0" fontId="0" fillId="17" borderId="90" xfId="0" applyFill="1" applyBorder="1" applyProtection="1">
      <protection hidden="1"/>
    </xf>
    <xf numFmtId="0" fontId="21" fillId="19" borderId="16" xfId="0" applyFont="1" applyFill="1" applyBorder="1" applyProtection="1">
      <protection hidden="1"/>
    </xf>
    <xf numFmtId="0" fontId="21" fillId="19" borderId="5" xfId="0" applyFont="1" applyFill="1" applyBorder="1" applyProtection="1">
      <protection hidden="1"/>
    </xf>
    <xf numFmtId="0" fontId="0" fillId="19" borderId="5" xfId="0" applyFill="1" applyBorder="1" applyProtection="1">
      <protection hidden="1"/>
    </xf>
    <xf numFmtId="0" fontId="0" fillId="19" borderId="17" xfId="0" applyFill="1" applyBorder="1" applyProtection="1">
      <protection hidden="1"/>
    </xf>
    <xf numFmtId="0" fontId="42"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92" fillId="0" borderId="0" xfId="0" applyFont="1" applyAlignment="1" applyProtection="1">
      <alignment horizontal="center"/>
      <protection hidden="1"/>
    </xf>
    <xf numFmtId="0" fontId="0" fillId="0" borderId="0" xfId="0" applyAlignment="1" applyProtection="1">
      <alignment horizontal="center" wrapText="1"/>
      <protection hidden="1"/>
    </xf>
    <xf numFmtId="0" fontId="6" fillId="0" borderId="0" xfId="0" applyFont="1" applyAlignment="1" applyProtection="1">
      <alignment horizontal="center"/>
      <protection hidden="1"/>
    </xf>
    <xf numFmtId="0" fontId="93" fillId="0" borderId="0" xfId="0" applyFont="1" applyAlignment="1" applyProtection="1">
      <alignment horizontal="center"/>
      <protection hidden="1"/>
    </xf>
    <xf numFmtId="168"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right" vertical="center" wrapText="1"/>
      <protection hidden="1"/>
    </xf>
    <xf numFmtId="0" fontId="17" fillId="0" borderId="0" xfId="0" applyFont="1" applyAlignment="1" applyProtection="1">
      <alignment wrapText="1"/>
      <protection hidden="1"/>
    </xf>
    <xf numFmtId="0" fontId="0" fillId="0" borderId="0" xfId="0" applyAlignment="1" applyProtection="1">
      <alignment horizontal="right"/>
      <protection hidden="1"/>
    </xf>
    <xf numFmtId="2" fontId="0" fillId="0" borderId="0" xfId="0" applyNumberFormat="1" applyProtection="1">
      <protection hidden="1"/>
    </xf>
    <xf numFmtId="0" fontId="21" fillId="19" borderId="0" xfId="0" applyFont="1" applyFill="1" applyProtection="1">
      <protection hidden="1"/>
    </xf>
    <xf numFmtId="0" fontId="0" fillId="19" borderId="0" xfId="0" applyFill="1" applyProtection="1">
      <protection hidden="1"/>
    </xf>
    <xf numFmtId="0" fontId="0" fillId="19" borderId="0" xfId="0" applyFill="1" applyAlignment="1" applyProtection="1">
      <alignment horizontal="center"/>
      <protection hidden="1"/>
    </xf>
    <xf numFmtId="0" fontId="21" fillId="19" borderId="0" xfId="0" applyFont="1" applyFill="1" applyAlignment="1" applyProtection="1">
      <alignment wrapText="1"/>
      <protection hidden="1"/>
    </xf>
    <xf numFmtId="0" fontId="21" fillId="19" borderId="0" xfId="0" applyFont="1" applyFill="1" applyAlignment="1" applyProtection="1">
      <alignment horizontal="center"/>
      <protection hidden="1"/>
    </xf>
    <xf numFmtId="0" fontId="89" fillId="19" borderId="0" xfId="0" applyFont="1" applyFill="1" applyProtection="1">
      <protection hidden="1"/>
    </xf>
    <xf numFmtId="168" fontId="0" fillId="19" borderId="0" xfId="0" applyNumberFormat="1" applyFill="1" applyAlignment="1" applyProtection="1">
      <alignment horizontal="center"/>
      <protection hidden="1"/>
    </xf>
    <xf numFmtId="0" fontId="90" fillId="19" borderId="0" xfId="0" applyFont="1" applyFill="1" applyProtection="1">
      <protection hidden="1"/>
    </xf>
    <xf numFmtId="0" fontId="0" fillId="19" borderId="0" xfId="0" applyFill="1" applyAlignment="1" applyProtection="1">
      <alignment horizontal="center" vertical="center"/>
      <protection hidden="1"/>
    </xf>
    <xf numFmtId="0" fontId="21" fillId="19" borderId="91" xfId="0" applyFont="1" applyFill="1" applyBorder="1" applyProtection="1">
      <protection hidden="1"/>
    </xf>
    <xf numFmtId="0" fontId="13" fillId="33" borderId="92" xfId="0" applyFont="1" applyFill="1" applyBorder="1" applyProtection="1">
      <protection hidden="1"/>
    </xf>
    <xf numFmtId="0" fontId="13" fillId="33" borderId="92" xfId="0" applyFont="1" applyFill="1" applyBorder="1" applyAlignment="1" applyProtection="1">
      <alignment horizontal="center"/>
      <protection hidden="1"/>
    </xf>
    <xf numFmtId="0" fontId="94" fillId="19" borderId="0" xfId="0" applyFont="1" applyFill="1" applyProtection="1">
      <protection hidden="1"/>
    </xf>
    <xf numFmtId="0" fontId="21" fillId="19" borderId="0" xfId="0" applyFont="1" applyFill="1" applyAlignment="1" applyProtection="1">
      <alignment horizontal="center" wrapText="1"/>
      <protection hidden="1"/>
    </xf>
    <xf numFmtId="0" fontId="91" fillId="19" borderId="0" xfId="0" applyFont="1" applyFill="1" applyAlignment="1" applyProtection="1">
      <alignment vertical="center"/>
      <protection hidden="1"/>
    </xf>
    <xf numFmtId="0" fontId="91" fillId="19" borderId="0" xfId="0" applyFont="1" applyFill="1" applyAlignment="1" applyProtection="1">
      <alignment horizontal="center" vertical="center"/>
      <protection hidden="1"/>
    </xf>
    <xf numFmtId="0" fontId="42" fillId="19" borderId="0" xfId="0" applyFont="1" applyFill="1" applyAlignment="1" applyProtection="1">
      <alignment horizontal="center" vertical="center"/>
      <protection hidden="1"/>
    </xf>
    <xf numFmtId="0" fontId="0" fillId="0" borderId="35" xfId="0" applyBorder="1" applyAlignment="1" applyProtection="1">
      <alignment horizontal="center"/>
      <protection hidden="1"/>
    </xf>
    <xf numFmtId="0" fontId="7" fillId="0" borderId="0" xfId="1" applyFill="1" applyBorder="1" applyAlignment="1" applyProtection="1">
      <alignment vertical="center" wrapText="1"/>
      <protection hidden="1"/>
    </xf>
    <xf numFmtId="0" fontId="0" fillId="0" borderId="34" xfId="0" applyBorder="1" applyAlignment="1">
      <alignment horizontal="center"/>
    </xf>
    <xf numFmtId="167" fontId="0" fillId="0" borderId="0" xfId="0" applyNumberFormat="1" applyProtection="1">
      <protection hidden="1"/>
    </xf>
    <xf numFmtId="0" fontId="71" fillId="0" borderId="0" xfId="0" applyFont="1" applyAlignment="1">
      <alignment horizontal="center" vertical="center"/>
    </xf>
    <xf numFmtId="0" fontId="95" fillId="0" borderId="0" xfId="0" applyFont="1" applyAlignment="1">
      <alignment vertical="center"/>
    </xf>
    <xf numFmtId="0" fontId="81" fillId="17" borderId="30" xfId="0" applyFont="1" applyFill="1" applyBorder="1" applyAlignment="1">
      <alignment vertical="center"/>
    </xf>
    <xf numFmtId="0" fontId="81" fillId="17" borderId="8" xfId="0" applyFont="1" applyFill="1" applyBorder="1" applyAlignment="1">
      <alignment vertical="center"/>
    </xf>
    <xf numFmtId="0" fontId="81" fillId="17" borderId="50" xfId="0" applyFont="1" applyFill="1" applyBorder="1" applyAlignment="1">
      <alignment vertical="center"/>
    </xf>
    <xf numFmtId="0" fontId="21" fillId="0" borderId="0" xfId="0" applyFont="1" applyAlignment="1" applyProtection="1">
      <alignment horizontal="center"/>
      <protection hidden="1"/>
    </xf>
    <xf numFmtId="0" fontId="0" fillId="34" borderId="3" xfId="0" applyFill="1" applyBorder="1" applyAlignment="1" applyProtection="1">
      <alignment horizontal="center"/>
      <protection hidden="1"/>
    </xf>
    <xf numFmtId="0" fontId="0" fillId="7" borderId="3" xfId="0" applyFill="1" applyBorder="1" applyAlignment="1" applyProtection="1">
      <alignment horizontal="center"/>
      <protection hidden="1"/>
    </xf>
    <xf numFmtId="0" fontId="0" fillId="4" borderId="3" xfId="0" applyFill="1" applyBorder="1" applyAlignment="1" applyProtection="1">
      <alignment horizontal="center"/>
      <protection hidden="1"/>
    </xf>
    <xf numFmtId="0" fontId="19" fillId="0" borderId="0" xfId="0" applyFont="1" applyAlignment="1">
      <alignment vertical="top" wrapText="1"/>
    </xf>
    <xf numFmtId="0" fontId="96" fillId="0" borderId="0" xfId="0" applyFont="1" applyAlignment="1">
      <alignment vertical="center"/>
    </xf>
    <xf numFmtId="0" fontId="97" fillId="0" borderId="0" xfId="0" applyFont="1" applyAlignment="1">
      <alignment vertical="center"/>
    </xf>
    <xf numFmtId="0" fontId="0" fillId="9" borderId="0" xfId="0" applyFill="1" applyProtection="1">
      <protection hidden="1"/>
    </xf>
    <xf numFmtId="0" fontId="21" fillId="9" borderId="0" xfId="0" applyFont="1" applyFill="1" applyProtection="1">
      <protection hidden="1"/>
    </xf>
    <xf numFmtId="0" fontId="0" fillId="0" borderId="3" xfId="0" applyBorder="1" applyProtection="1">
      <protection locked="0" hidden="1"/>
    </xf>
    <xf numFmtId="0" fontId="6" fillId="19" borderId="12" xfId="0" applyFont="1" applyFill="1" applyBorder="1" applyAlignment="1" applyProtection="1">
      <alignment horizontal="left" vertical="center"/>
      <protection hidden="1"/>
    </xf>
    <xf numFmtId="0" fontId="18" fillId="19" borderId="14" xfId="0" applyFont="1" applyFill="1" applyBorder="1" applyAlignment="1" applyProtection="1">
      <alignment horizontal="left" vertical="center"/>
      <protection hidden="1"/>
    </xf>
    <xf numFmtId="0" fontId="0" fillId="0" borderId="3" xfId="0" applyBorder="1" applyAlignment="1" applyProtection="1">
      <alignment horizontal="center"/>
      <protection locked="0" hidden="1"/>
    </xf>
    <xf numFmtId="0" fontId="0" fillId="35" borderId="0" xfId="0" applyFill="1" applyProtection="1">
      <protection locked="0" hidden="1"/>
    </xf>
    <xf numFmtId="167" fontId="0" fillId="0" borderId="5" xfId="0" applyNumberFormat="1" applyBorder="1" applyProtection="1">
      <protection hidden="1"/>
    </xf>
    <xf numFmtId="0" fontId="0" fillId="0" borderId="5" xfId="0" applyBorder="1" applyProtection="1">
      <protection hidden="1"/>
    </xf>
    <xf numFmtId="0" fontId="0" fillId="35" borderId="5" xfId="0" applyFill="1" applyBorder="1" applyProtection="1">
      <protection locked="0" hidden="1"/>
    </xf>
    <xf numFmtId="0" fontId="0" fillId="0" borderId="5" xfId="0" applyBorder="1" applyProtection="1">
      <protection locked="0" hidden="1"/>
    </xf>
    <xf numFmtId="0" fontId="0" fillId="2" borderId="0" xfId="0" applyFill="1" applyProtection="1">
      <protection locked="0" hidden="1"/>
    </xf>
    <xf numFmtId="0" fontId="6" fillId="35" borderId="5" xfId="0" applyFont="1" applyFill="1" applyBorder="1" applyProtection="1">
      <protection locked="0" hidden="1"/>
    </xf>
    <xf numFmtId="0" fontId="16" fillId="0" borderId="0" xfId="0" applyFont="1" applyAlignment="1" applyProtection="1">
      <alignment vertical="center" textRotation="90" wrapText="1"/>
      <protection locked="0" hidden="1"/>
    </xf>
    <xf numFmtId="0" fontId="6"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6" fillId="0" borderId="0" xfId="0" applyFont="1" applyProtection="1">
      <protection locked="0" hidden="1"/>
    </xf>
    <xf numFmtId="0" fontId="98" fillId="0" borderId="0" xfId="0" applyFont="1" applyAlignment="1">
      <alignment vertical="center"/>
    </xf>
    <xf numFmtId="0" fontId="79" fillId="0" borderId="0" xfId="0" applyFont="1" applyAlignment="1">
      <alignment vertical="center"/>
    </xf>
    <xf numFmtId="0" fontId="16" fillId="0" borderId="0" xfId="0" applyFont="1" applyAlignment="1" applyProtection="1">
      <alignment vertical="center" textRotation="90"/>
      <protection hidden="1"/>
    </xf>
    <xf numFmtId="0" fontId="20" fillId="0" borderId="0" xfId="0" applyFont="1" applyAlignment="1" applyProtection="1">
      <alignment vertical="center" textRotation="90"/>
      <protection hidden="1"/>
    </xf>
    <xf numFmtId="0" fontId="21" fillId="17" borderId="0" xfId="0" applyFont="1" applyFill="1" applyProtection="1">
      <protection hidden="1"/>
    </xf>
    <xf numFmtId="0" fontId="21" fillId="11" borderId="77" xfId="0" applyFont="1" applyFill="1" applyBorder="1" applyProtection="1">
      <protection hidden="1"/>
    </xf>
    <xf numFmtId="0" fontId="87" fillId="0" borderId="0" xfId="0" applyFont="1" applyAlignment="1" applyProtection="1">
      <alignment horizontal="left"/>
      <protection hidden="1"/>
    </xf>
    <xf numFmtId="0" fontId="87" fillId="17" borderId="0" xfId="0" applyFont="1" applyFill="1" applyAlignment="1" applyProtection="1">
      <alignment horizontal="left"/>
      <protection hidden="1"/>
    </xf>
    <xf numFmtId="167" fontId="0" fillId="35" borderId="5" xfId="0" applyNumberFormat="1" applyFill="1" applyBorder="1" applyProtection="1">
      <protection hidden="1"/>
    </xf>
    <xf numFmtId="167" fontId="0" fillId="35" borderId="5" xfId="21" applyNumberFormat="1" applyFont="1" applyFill="1" applyBorder="1" applyProtection="1">
      <protection locked="0" hidden="1"/>
    </xf>
    <xf numFmtId="169" fontId="101" fillId="17" borderId="0" xfId="19" applyNumberFormat="1" applyFont="1" applyFill="1" applyAlignment="1" applyProtection="1">
      <alignment vertical="center" wrapText="1"/>
      <protection locked="0" hidden="1"/>
    </xf>
    <xf numFmtId="0" fontId="71" fillId="17" borderId="94" xfId="0"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81" fillId="17" borderId="0" xfId="0" applyFont="1" applyFill="1" applyAlignment="1">
      <alignment vertical="center"/>
    </xf>
    <xf numFmtId="0" fontId="81" fillId="0" borderId="22" xfId="0" applyFont="1" applyBorder="1" applyAlignment="1">
      <alignment vertical="center"/>
    </xf>
    <xf numFmtId="0" fontId="19" fillId="0" borderId="22" xfId="0" applyFont="1" applyBorder="1"/>
    <xf numFmtId="0" fontId="0" fillId="0" borderId="22" xfId="0" applyBorder="1" applyAlignment="1">
      <alignment horizontal="center"/>
    </xf>
    <xf numFmtId="0" fontId="0" fillId="0" borderId="22" xfId="0" applyBorder="1" applyAlignment="1">
      <alignment horizontal="center" vertical="center"/>
    </xf>
    <xf numFmtId="0" fontId="0" fillId="0" borderId="22" xfId="0" applyBorder="1"/>
    <xf numFmtId="2" fontId="13" fillId="33" borderId="92" xfId="0" applyNumberFormat="1" applyFont="1" applyFill="1" applyBorder="1" applyAlignment="1" applyProtection="1">
      <alignment horizontal="center"/>
      <protection hidden="1"/>
    </xf>
    <xf numFmtId="167" fontId="0" fillId="0" borderId="0" xfId="0" applyNumberFormat="1" applyProtection="1">
      <protection locked="0" hidden="1"/>
    </xf>
    <xf numFmtId="0" fontId="0" fillId="0" borderId="0" xfId="0" applyAlignment="1" applyProtection="1">
      <alignment horizontal="right"/>
      <protection locked="0" hidden="1"/>
    </xf>
    <xf numFmtId="1" fontId="0" fillId="0" borderId="0" xfId="0" applyNumberFormat="1" applyProtection="1">
      <protection locked="0"/>
    </xf>
    <xf numFmtId="0" fontId="104" fillId="36" borderId="14" xfId="0" applyFont="1" applyFill="1" applyBorder="1" applyAlignment="1">
      <alignment horizontal="right" vertical="center"/>
    </xf>
    <xf numFmtId="0" fontId="104" fillId="36" borderId="17" xfId="0" applyFont="1" applyFill="1" applyBorder="1" applyAlignment="1">
      <alignment horizontal="right" vertical="center"/>
    </xf>
    <xf numFmtId="0" fontId="0" fillId="8" borderId="0" xfId="0" applyFill="1" applyProtection="1">
      <protection locked="0"/>
    </xf>
    <xf numFmtId="0" fontId="14" fillId="8" borderId="0" xfId="9" applyFont="1" applyFill="1" applyAlignment="1" applyProtection="1">
      <alignment horizontal="left"/>
      <protection locked="0"/>
    </xf>
    <xf numFmtId="0" fontId="14" fillId="8" borderId="0" xfId="13" applyFont="1" applyFill="1" applyAlignment="1" applyProtection="1">
      <alignment horizontal="left"/>
      <protection locked="0"/>
    </xf>
    <xf numFmtId="0" fontId="0" fillId="8" borderId="0" xfId="0" applyFill="1"/>
    <xf numFmtId="0" fontId="14" fillId="0" borderId="0" xfId="0" applyFont="1" applyAlignment="1" applyProtection="1">
      <alignment horizontal="left"/>
      <protection locked="0"/>
    </xf>
    <xf numFmtId="0" fontId="23" fillId="0" borderId="17" xfId="0" applyFont="1" applyBorder="1" applyAlignment="1">
      <alignment vertical="center"/>
    </xf>
    <xf numFmtId="0" fontId="0" fillId="0" borderId="31" xfId="0" applyBorder="1" applyProtection="1">
      <protection hidden="1"/>
    </xf>
    <xf numFmtId="0" fontId="0" fillId="0" borderId="0" xfId="0" applyAlignment="1" applyProtection="1">
      <alignment vertical="top"/>
      <protection locked="0"/>
    </xf>
    <xf numFmtId="0" fontId="0" fillId="0" borderId="0" xfId="0" applyAlignment="1" applyProtection="1">
      <alignment horizontal="right"/>
      <protection locked="0"/>
    </xf>
    <xf numFmtId="49" fontId="0" fillId="0" borderId="0" xfId="0" applyNumberFormat="1" applyAlignment="1" applyProtection="1">
      <alignment vertical="top" wrapText="1"/>
      <protection locked="0"/>
    </xf>
    <xf numFmtId="0" fontId="55" fillId="35" borderId="0" xfId="7" applyFont="1" applyFill="1" applyAlignment="1" applyProtection="1">
      <alignment horizontal="center" vertical="center" wrapText="1"/>
      <protection locked="0" hidden="1"/>
    </xf>
    <xf numFmtId="0" fontId="36" fillId="0" borderId="0" xfId="8" applyFont="1" applyAlignment="1" applyProtection="1">
      <alignment horizontal="center" vertical="center" wrapText="1"/>
      <protection locked="0" hidden="1"/>
    </xf>
    <xf numFmtId="0" fontId="36" fillId="0" borderId="13" xfId="8" applyFont="1" applyBorder="1" applyAlignment="1" applyProtection="1">
      <alignment horizontal="center" vertical="center" wrapText="1"/>
      <protection locked="0" hidden="1"/>
    </xf>
    <xf numFmtId="0" fontId="56" fillId="10" borderId="0" xfId="7" applyFont="1" applyFill="1" applyAlignment="1" applyProtection="1">
      <alignment horizontal="center" vertical="center"/>
      <protection locked="0" hidden="1"/>
    </xf>
    <xf numFmtId="0" fontId="33" fillId="0" borderId="61" xfId="1" applyFont="1" applyFill="1" applyBorder="1" applyAlignment="1" applyProtection="1">
      <alignment horizontal="center" vertical="center"/>
      <protection hidden="1"/>
    </xf>
    <xf numFmtId="0" fontId="33" fillId="0" borderId="0" xfId="1" applyFont="1" applyFill="1" applyBorder="1" applyAlignment="1" applyProtection="1">
      <alignment horizontal="center" vertical="center"/>
      <protection hidden="1"/>
    </xf>
    <xf numFmtId="0" fontId="33" fillId="35" borderId="61" xfId="1" applyFont="1" applyFill="1" applyBorder="1" applyAlignment="1" applyProtection="1">
      <alignment horizontal="center" vertical="center"/>
      <protection hidden="1"/>
    </xf>
    <xf numFmtId="0" fontId="33" fillId="35" borderId="0" xfId="1" applyFont="1" applyFill="1" applyBorder="1" applyAlignment="1" applyProtection="1">
      <alignment horizontal="center" vertical="center"/>
      <protection hidden="1"/>
    </xf>
    <xf numFmtId="0" fontId="9" fillId="17" borderId="0" xfId="0" applyFont="1" applyFill="1" applyAlignment="1" applyProtection="1">
      <alignment horizontal="left" indent="1"/>
      <protection hidden="1"/>
    </xf>
    <xf numFmtId="0" fontId="0" fillId="17" borderId="0" xfId="0" applyFill="1" applyAlignment="1" applyProtection="1">
      <alignment horizontal="center"/>
      <protection locked="0" hidden="1"/>
    </xf>
    <xf numFmtId="0" fontId="9" fillId="10" borderId="51" xfId="0" applyFont="1" applyFill="1" applyBorder="1" applyAlignment="1" applyProtection="1">
      <alignment horizontal="left" indent="1"/>
      <protection hidden="1"/>
    </xf>
    <xf numFmtId="0" fontId="13" fillId="11" borderId="0" xfId="0" applyFont="1" applyFill="1" applyAlignment="1" applyProtection="1">
      <alignment horizontal="center"/>
      <protection locked="0" hidden="1"/>
    </xf>
    <xf numFmtId="3" fontId="13" fillId="11" borderId="0" xfId="0" applyNumberFormat="1" applyFont="1" applyFill="1" applyAlignment="1" applyProtection="1">
      <alignment horizontal="center"/>
      <protection locked="0" hidden="1"/>
    </xf>
    <xf numFmtId="0" fontId="9" fillId="0" borderId="0" xfId="0" applyFont="1" applyAlignment="1" applyProtection="1">
      <alignment horizontal="left" indent="1"/>
      <protection hidden="1"/>
    </xf>
    <xf numFmtId="0" fontId="9" fillId="0" borderId="0" xfId="0" applyFont="1" applyAlignment="1" applyProtection="1">
      <alignment horizontal="center"/>
      <protection hidden="1"/>
    </xf>
    <xf numFmtId="1" fontId="13" fillId="11" borderId="0" xfId="17" applyNumberFormat="1" applyFont="1" applyFill="1" applyBorder="1" applyAlignment="1" applyProtection="1">
      <alignment horizontal="right"/>
      <protection locked="0" hidden="1"/>
    </xf>
    <xf numFmtId="0" fontId="13" fillId="0" borderId="0" xfId="0" applyFont="1" applyAlignment="1" applyProtection="1">
      <alignment horizontal="center"/>
      <protection locked="0" hidden="1"/>
    </xf>
    <xf numFmtId="0" fontId="13" fillId="0" borderId="0" xfId="0" applyFont="1" applyAlignment="1" applyProtection="1">
      <alignment horizontal="left" vertical="top" wrapText="1"/>
      <protection locked="0" hidden="1"/>
    </xf>
    <xf numFmtId="0" fontId="0" fillId="0" borderId="0" xfId="0" applyAlignment="1" applyProtection="1">
      <alignment horizontal="center" wrapText="1"/>
      <protection hidden="1"/>
    </xf>
    <xf numFmtId="0" fontId="81" fillId="17" borderId="30" xfId="0" applyFont="1" applyFill="1" applyBorder="1" applyAlignment="1">
      <alignment horizontal="center" vertical="center"/>
    </xf>
    <xf numFmtId="0" fontId="81" fillId="17" borderId="8" xfId="0" applyFont="1" applyFill="1" applyBorder="1" applyAlignment="1">
      <alignment horizontal="center" vertical="center"/>
    </xf>
    <xf numFmtId="0" fontId="81" fillId="17" borderId="96" xfId="0" applyFont="1" applyFill="1" applyBorder="1" applyAlignment="1">
      <alignment horizontal="center" vertical="center"/>
    </xf>
    <xf numFmtId="0" fontId="0" fillId="0" borderId="78" xfId="0" applyBorder="1" applyAlignment="1">
      <alignment horizontal="center"/>
    </xf>
    <xf numFmtId="0" fontId="0" fillId="0" borderId="97" xfId="0" applyBorder="1" applyAlignment="1">
      <alignment horizontal="center"/>
    </xf>
    <xf numFmtId="0" fontId="19" fillId="0" borderId="0" xfId="0" applyFont="1" applyAlignment="1">
      <alignment horizontal="center" vertical="top" wrapText="1"/>
    </xf>
    <xf numFmtId="0" fontId="64" fillId="22" borderId="0" xfId="7" applyFont="1" applyFill="1" applyAlignment="1" applyProtection="1">
      <alignment horizontal="center" vertical="center"/>
      <protection hidden="1"/>
    </xf>
    <xf numFmtId="0" fontId="59" fillId="35" borderId="61" xfId="1" applyFont="1" applyFill="1" applyBorder="1" applyAlignment="1" applyProtection="1">
      <alignment horizontal="center" vertical="center"/>
      <protection hidden="1"/>
    </xf>
    <xf numFmtId="0" fontId="59" fillId="35" borderId="0" xfId="1" applyFont="1" applyFill="1" applyBorder="1" applyAlignment="1" applyProtection="1">
      <alignment horizontal="center" vertical="center"/>
      <protection hidden="1"/>
    </xf>
    <xf numFmtId="0" fontId="59" fillId="0" borderId="0" xfId="1" applyFont="1" applyFill="1" applyBorder="1" applyAlignment="1" applyProtection="1">
      <alignment horizontal="center" vertical="center"/>
      <protection hidden="1"/>
    </xf>
    <xf numFmtId="0" fontId="83" fillId="0" borderId="0" xfId="1" applyFont="1" applyFill="1" applyBorder="1" applyAlignment="1" applyProtection="1">
      <alignment horizontal="center" vertical="center"/>
      <protection hidden="1"/>
    </xf>
    <xf numFmtId="0" fontId="80" fillId="11" borderId="32" xfId="0" applyFont="1" applyFill="1" applyBorder="1" applyAlignment="1">
      <alignment horizontal="center" vertical="center" wrapText="1"/>
    </xf>
    <xf numFmtId="0" fontId="19" fillId="0" borderId="0" xfId="0" applyFont="1" applyAlignment="1">
      <alignment horizontal="left" vertical="center" wrapText="1"/>
    </xf>
    <xf numFmtId="0" fontId="81" fillId="17" borderId="50" xfId="0" applyFont="1" applyFill="1" applyBorder="1" applyAlignment="1">
      <alignment horizontal="center" vertical="center"/>
    </xf>
    <xf numFmtId="0" fontId="19" fillId="11" borderId="94" xfId="0" applyFont="1" applyFill="1" applyBorder="1" applyAlignment="1">
      <alignment horizontal="center"/>
    </xf>
    <xf numFmtId="0" fontId="19" fillId="11" borderId="95" xfId="0" applyFont="1" applyFill="1" applyBorder="1" applyAlignment="1">
      <alignment horizontal="center"/>
    </xf>
    <xf numFmtId="2" fontId="43" fillId="11" borderId="0" xfId="0" applyNumberFormat="1" applyFont="1" applyFill="1" applyAlignment="1" applyProtection="1">
      <alignment horizontal="right" vertical="center"/>
      <protection hidden="1"/>
    </xf>
    <xf numFmtId="2" fontId="43" fillId="11" borderId="64" xfId="0" applyNumberFormat="1" applyFont="1" applyFill="1" applyBorder="1" applyAlignment="1" applyProtection="1">
      <alignment horizontal="right" vertical="center"/>
      <protection hidden="1"/>
    </xf>
    <xf numFmtId="2" fontId="43" fillId="11" borderId="60" xfId="0" applyNumberFormat="1" applyFont="1" applyFill="1" applyBorder="1" applyAlignment="1" applyProtection="1">
      <alignment horizontal="left" vertical="center"/>
      <protection hidden="1"/>
    </xf>
    <xf numFmtId="2" fontId="43" fillId="11" borderId="84" xfId="0" applyNumberFormat="1" applyFont="1" applyFill="1" applyBorder="1" applyAlignment="1" applyProtection="1">
      <alignment horizontal="left" vertical="center"/>
      <protection hidden="1"/>
    </xf>
    <xf numFmtId="2" fontId="43" fillId="0" borderId="0" xfId="0" applyNumberFormat="1" applyFont="1" applyAlignment="1" applyProtection="1">
      <alignment horizontal="right" vertical="center"/>
      <protection hidden="1"/>
    </xf>
    <xf numFmtId="0" fontId="30" fillId="10" borderId="62" xfId="0" applyFont="1" applyFill="1" applyBorder="1" applyAlignment="1" applyProtection="1">
      <alignment horizontal="left" vertical="center" indent="1"/>
      <protection hidden="1"/>
    </xf>
    <xf numFmtId="0" fontId="30" fillId="10" borderId="57" xfId="0" applyFont="1" applyFill="1" applyBorder="1" applyAlignment="1" applyProtection="1">
      <alignment horizontal="left" vertical="center" indent="1"/>
      <protection hidden="1"/>
    </xf>
    <xf numFmtId="0" fontId="30" fillId="17" borderId="0" xfId="0" applyFont="1" applyFill="1" applyAlignment="1" applyProtection="1">
      <alignment horizontal="left" indent="1"/>
      <protection hidden="1"/>
    </xf>
    <xf numFmtId="164" fontId="35" fillId="11" borderId="57" xfId="0" applyNumberFormat="1" applyFont="1" applyFill="1" applyBorder="1" applyAlignment="1" applyProtection="1">
      <alignment horizontal="center" vertical="center"/>
      <protection locked="0" hidden="1"/>
    </xf>
    <xf numFmtId="164" fontId="35" fillId="11" borderId="65" xfId="0" applyNumberFormat="1" applyFont="1" applyFill="1" applyBorder="1" applyAlignment="1" applyProtection="1">
      <alignment horizontal="center" vertical="center"/>
      <protection locked="0" hidden="1"/>
    </xf>
    <xf numFmtId="0" fontId="82" fillId="0" borderId="0" xfId="1" applyFont="1" applyFill="1" applyAlignment="1" applyProtection="1">
      <alignment horizontal="center" vertical="center" wrapText="1"/>
      <protection locked="0" hidden="1"/>
    </xf>
    <xf numFmtId="2" fontId="43" fillId="0" borderId="0" xfId="0" applyNumberFormat="1" applyFont="1" applyAlignment="1" applyProtection="1">
      <alignment horizontal="left" vertical="center"/>
      <protection hidden="1"/>
    </xf>
    <xf numFmtId="0" fontId="30" fillId="0" borderId="0" xfId="0" applyFont="1" applyAlignment="1" applyProtection="1">
      <alignment horizontal="right" vertical="center"/>
      <protection hidden="1"/>
    </xf>
    <xf numFmtId="0" fontId="0" fillId="0" borderId="0" xfId="0" applyAlignment="1" applyProtection="1">
      <alignment horizontal="center"/>
      <protection hidden="1"/>
    </xf>
    <xf numFmtId="0" fontId="16" fillId="0" borderId="0" xfId="0" applyFont="1" applyAlignment="1" applyProtection="1">
      <alignment horizontal="center" vertical="center" wrapText="1"/>
      <protection hidden="1"/>
    </xf>
    <xf numFmtId="0" fontId="30" fillId="10" borderId="61" xfId="0" applyFont="1" applyFill="1" applyBorder="1" applyAlignment="1" applyProtection="1">
      <alignment horizontal="right" vertical="center" indent="1"/>
      <protection hidden="1"/>
    </xf>
    <xf numFmtId="0" fontId="30" fillId="10" borderId="0" xfId="0" applyFont="1" applyFill="1" applyAlignment="1" applyProtection="1">
      <alignment horizontal="right" vertical="center" indent="1"/>
      <protection hidden="1"/>
    </xf>
    <xf numFmtId="0" fontId="30" fillId="10" borderId="83" xfId="0" applyFont="1" applyFill="1" applyBorder="1" applyAlignment="1" applyProtection="1">
      <alignment horizontal="right" vertical="center" indent="1"/>
      <protection hidden="1"/>
    </xf>
    <xf numFmtId="0" fontId="30" fillId="10" borderId="64" xfId="0" applyFont="1" applyFill="1" applyBorder="1" applyAlignment="1" applyProtection="1">
      <alignment horizontal="right" vertical="center" indent="1"/>
      <protection hidden="1"/>
    </xf>
    <xf numFmtId="0" fontId="0" fillId="5" borderId="0" xfId="0" applyFill="1" applyAlignment="1" applyProtection="1">
      <alignment horizontal="center" vertical="center"/>
      <protection hidden="1"/>
    </xf>
    <xf numFmtId="0" fontId="0" fillId="5" borderId="64" xfId="0" applyFill="1" applyBorder="1" applyAlignment="1" applyProtection="1">
      <alignment horizontal="center" vertical="center"/>
      <protection hidden="1"/>
    </xf>
    <xf numFmtId="0" fontId="35" fillId="11" borderId="57" xfId="0" applyFont="1" applyFill="1" applyBorder="1" applyAlignment="1" applyProtection="1">
      <alignment horizontal="center" vertical="center"/>
      <protection locked="0" hidden="1"/>
    </xf>
    <xf numFmtId="0" fontId="35" fillId="11" borderId="65" xfId="0" applyFont="1" applyFill="1" applyBorder="1" applyAlignment="1" applyProtection="1">
      <alignment horizontal="center" vertical="center"/>
      <protection locked="0" hidden="1"/>
    </xf>
    <xf numFmtId="0" fontId="35" fillId="11" borderId="57" xfId="0" applyFont="1" applyFill="1" applyBorder="1" applyAlignment="1" applyProtection="1">
      <alignment horizontal="center"/>
      <protection locked="0" hidden="1"/>
    </xf>
    <xf numFmtId="0" fontId="35" fillId="11" borderId="65" xfId="0" applyFont="1" applyFill="1" applyBorder="1" applyAlignment="1" applyProtection="1">
      <alignment horizontal="center"/>
      <protection locked="0" hidden="1"/>
    </xf>
    <xf numFmtId="0" fontId="30" fillId="10" borderId="0" xfId="0" applyFont="1" applyFill="1" applyAlignment="1" applyProtection="1">
      <alignment horizontal="left" indent="1"/>
      <protection hidden="1"/>
    </xf>
    <xf numFmtId="0" fontId="35" fillId="11" borderId="0" xfId="0" applyFont="1" applyFill="1" applyAlignment="1" applyProtection="1">
      <alignment horizontal="center"/>
      <protection locked="0" hidden="1"/>
    </xf>
    <xf numFmtId="0" fontId="13" fillId="33" borderId="62" xfId="0" applyFont="1" applyFill="1" applyBorder="1" applyAlignment="1" applyProtection="1">
      <alignment horizontal="center"/>
      <protection hidden="1"/>
    </xf>
    <xf numFmtId="0" fontId="13" fillId="33" borderId="65" xfId="0" applyFont="1" applyFill="1" applyBorder="1" applyAlignment="1" applyProtection="1">
      <alignment horizontal="center"/>
      <protection hidden="1"/>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20" xfId="0" applyBorder="1" applyAlignment="1" applyProtection="1">
      <alignment horizontal="center"/>
      <protection hidden="1"/>
    </xf>
    <xf numFmtId="0" fontId="0" fillId="0" borderId="66" xfId="0" applyBorder="1" applyAlignment="1" applyProtection="1">
      <alignment horizontal="center"/>
      <protection locked="0"/>
    </xf>
    <xf numFmtId="9" fontId="13" fillId="17" borderId="0" xfId="17" applyFont="1" applyFill="1" applyBorder="1" applyAlignment="1" applyProtection="1">
      <alignment horizontal="center"/>
      <protection locked="0" hidden="1"/>
    </xf>
    <xf numFmtId="0" fontId="33" fillId="35" borderId="61" xfId="1" applyFont="1" applyFill="1" applyBorder="1" applyAlignment="1" applyProtection="1">
      <alignment horizontal="center" vertical="center"/>
      <protection locked="0" hidden="1"/>
    </xf>
    <xf numFmtId="0" fontId="33" fillId="35" borderId="0" xfId="1" applyFont="1" applyFill="1" applyBorder="1" applyAlignment="1" applyProtection="1">
      <alignment horizontal="center" vertical="center"/>
      <protection locked="0" hidden="1"/>
    </xf>
    <xf numFmtId="0" fontId="35" fillId="0" borderId="57" xfId="0" applyFont="1" applyBorder="1" applyAlignment="1" applyProtection="1">
      <alignment horizontal="center" vertical="center"/>
      <protection hidden="1"/>
    </xf>
    <xf numFmtId="0" fontId="35" fillId="0" borderId="65" xfId="0" applyFont="1" applyBorder="1" applyAlignment="1" applyProtection="1">
      <alignment horizontal="center" vertical="center"/>
      <protection hidden="1"/>
    </xf>
    <xf numFmtId="0" fontId="103" fillId="10" borderId="0" xfId="7" applyFont="1" applyFill="1" applyAlignment="1" applyProtection="1">
      <alignment horizontal="center"/>
      <protection hidden="1"/>
    </xf>
    <xf numFmtId="0" fontId="103" fillId="10" borderId="60" xfId="7" applyFont="1" applyFill="1" applyBorder="1" applyAlignment="1" applyProtection="1">
      <alignment horizontal="center"/>
      <protection hidden="1"/>
    </xf>
    <xf numFmtId="0" fontId="35" fillId="17" borderId="0" xfId="0" applyFont="1" applyFill="1" applyAlignment="1" applyProtection="1">
      <alignment horizontal="center"/>
      <protection locked="0" hidden="1"/>
    </xf>
    <xf numFmtId="0" fontId="14" fillId="0" borderId="1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50" fillId="0" borderId="40" xfId="0" applyFont="1" applyBorder="1" applyAlignment="1" applyProtection="1">
      <alignment horizontal="center" vertical="center" textRotation="90"/>
      <protection locked="0"/>
    </xf>
    <xf numFmtId="0" fontId="50" fillId="0" borderId="41" xfId="0" applyFont="1" applyBorder="1" applyAlignment="1" applyProtection="1">
      <alignment horizontal="center" vertical="center" textRotation="90"/>
      <protection locked="0"/>
    </xf>
    <xf numFmtId="0" fontId="50" fillId="0" borderId="42" xfId="0" applyFont="1" applyBorder="1" applyAlignment="1" applyProtection="1">
      <alignment horizontal="center" vertical="center" textRotation="90"/>
      <protection locked="0"/>
    </xf>
    <xf numFmtId="0" fontId="53" fillId="0" borderId="0" xfId="0" applyFont="1" applyAlignment="1" applyProtection="1">
      <alignment horizontal="center" vertical="center" textRotation="90"/>
      <protection locked="0"/>
    </xf>
    <xf numFmtId="0" fontId="42" fillId="0" borderId="9" xfId="0" applyFont="1" applyBorder="1" applyAlignment="1" applyProtection="1">
      <alignment horizontal="center" vertical="center" textRotation="90" wrapText="1"/>
      <protection locked="0"/>
    </xf>
    <xf numFmtId="0" fontId="42" fillId="0" borderId="11" xfId="0" applyFont="1" applyBorder="1" applyAlignment="1" applyProtection="1">
      <alignment horizontal="center" vertical="center" textRotation="90" wrapText="1"/>
      <protection locked="0"/>
    </xf>
    <xf numFmtId="0" fontId="42" fillId="0" borderId="16" xfId="0" applyFont="1" applyBorder="1" applyAlignment="1" applyProtection="1">
      <alignment horizontal="center" vertical="center" textRotation="90" wrapText="1"/>
      <protection locked="0"/>
    </xf>
    <xf numFmtId="0" fontId="14" fillId="0" borderId="0" xfId="0" applyFont="1" applyAlignment="1" applyProtection="1">
      <alignment horizontal="center"/>
      <protection locked="0"/>
    </xf>
    <xf numFmtId="0" fontId="14" fillId="0" borderId="39"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pplyProtection="1">
      <alignment horizontal="left" wrapText="1"/>
      <protection hidden="1"/>
    </xf>
    <xf numFmtId="0" fontId="0" fillId="8" borderId="12" xfId="0" applyFill="1" applyBorder="1" applyAlignment="1" applyProtection="1">
      <alignment horizontal="center"/>
      <protection hidden="1"/>
    </xf>
    <xf numFmtId="0" fontId="0" fillId="8" borderId="14" xfId="0" applyFill="1" applyBorder="1" applyAlignment="1" applyProtection="1">
      <alignment horizontal="center"/>
      <protection hidden="1"/>
    </xf>
    <xf numFmtId="0" fontId="21" fillId="0" borderId="0" xfId="0" applyFont="1" applyAlignment="1" applyProtection="1">
      <alignment horizontal="left" wrapText="1"/>
      <protection hidden="1"/>
    </xf>
    <xf numFmtId="0" fontId="59" fillId="10" borderId="61" xfId="1" applyFont="1" applyFill="1" applyBorder="1" applyAlignment="1" applyProtection="1">
      <alignment horizontal="center" vertical="center" wrapText="1"/>
      <protection locked="0" hidden="1"/>
    </xf>
    <xf numFmtId="0" fontId="59" fillId="10" borderId="0" xfId="1"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hidden="1"/>
    </xf>
    <xf numFmtId="0" fontId="0" fillId="0" borderId="0" xfId="0" applyAlignment="1" applyProtection="1">
      <alignment horizontal="left" vertical="top" wrapText="1"/>
      <protection hidden="1"/>
    </xf>
    <xf numFmtId="0" fontId="16" fillId="0" borderId="0" xfId="0" applyFont="1" applyAlignment="1" applyProtection="1">
      <alignment horizontal="center" vertical="center"/>
      <protection locked="0" hidden="1"/>
    </xf>
    <xf numFmtId="0" fontId="12" fillId="17" borderId="0" xfId="0" applyFont="1" applyFill="1" applyAlignment="1" applyProtection="1">
      <alignment horizontal="center" vertical="center"/>
      <protection locked="0" hidden="1"/>
    </xf>
    <xf numFmtId="0" fontId="9" fillId="24" borderId="0" xfId="0" applyFont="1" applyFill="1" applyAlignment="1" applyProtection="1">
      <alignment horizontal="center" vertical="center" textRotation="90"/>
      <protection hidden="1"/>
    </xf>
    <xf numFmtId="164" fontId="58" fillId="17" borderId="0" xfId="0" applyNumberFormat="1" applyFont="1" applyFill="1" applyAlignment="1" applyProtection="1">
      <alignment horizontal="center" vertical="center"/>
      <protection locked="0" hidden="1"/>
    </xf>
    <xf numFmtId="164" fontId="18" fillId="5" borderId="0" xfId="0" applyNumberFormat="1" applyFont="1" applyFill="1" applyAlignment="1" applyProtection="1">
      <alignment horizontal="center" vertical="center" textRotation="90"/>
      <protection locked="0" hidden="1"/>
    </xf>
    <xf numFmtId="0" fontId="16" fillId="17" borderId="57" xfId="0" applyFont="1" applyFill="1" applyBorder="1" applyAlignment="1" applyProtection="1">
      <alignment horizontal="center" vertical="center"/>
      <protection hidden="1"/>
    </xf>
    <xf numFmtId="0" fontId="16" fillId="17" borderId="63" xfId="0" applyFont="1" applyFill="1" applyBorder="1" applyAlignment="1" applyProtection="1">
      <alignment horizontal="center" vertical="center"/>
      <protection hidden="1"/>
    </xf>
    <xf numFmtId="0" fontId="16" fillId="7" borderId="57" xfId="0" applyFont="1" applyFill="1" applyBorder="1" applyAlignment="1" applyProtection="1">
      <alignment horizontal="center" vertical="center"/>
      <protection locked="0" hidden="1"/>
    </xf>
    <xf numFmtId="0" fontId="16" fillId="7" borderId="63" xfId="0" applyFont="1" applyFill="1" applyBorder="1" applyAlignment="1" applyProtection="1">
      <alignment horizontal="center" vertical="center"/>
      <protection locked="0" hidden="1"/>
    </xf>
    <xf numFmtId="0" fontId="16" fillId="11" borderId="57" xfId="0" applyFont="1" applyFill="1" applyBorder="1" applyAlignment="1" applyProtection="1">
      <alignment horizontal="center" vertical="center"/>
      <protection locked="0" hidden="1"/>
    </xf>
    <xf numFmtId="0" fontId="16" fillId="11" borderId="72" xfId="0" applyFont="1" applyFill="1" applyBorder="1" applyAlignment="1" applyProtection="1">
      <alignment horizontal="center" vertical="center"/>
      <protection locked="0" hidden="1"/>
    </xf>
    <xf numFmtId="0" fontId="16" fillId="17" borderId="72" xfId="0" applyFont="1" applyFill="1" applyBorder="1" applyAlignment="1" applyProtection="1">
      <alignment horizontal="center" vertical="center"/>
      <protection hidden="1"/>
    </xf>
    <xf numFmtId="0" fontId="56" fillId="22" borderId="49" xfId="7" applyFont="1" applyFill="1" applyBorder="1" applyAlignment="1" applyProtection="1">
      <alignment horizontal="center" vertical="center"/>
      <protection hidden="1"/>
    </xf>
    <xf numFmtId="0" fontId="56" fillId="35" borderId="49" xfId="7" applyFont="1" applyFill="1" applyBorder="1" applyAlignment="1" applyProtection="1">
      <alignment horizontal="center" vertical="center"/>
      <protection hidden="1"/>
    </xf>
    <xf numFmtId="0" fontId="22" fillId="0" borderId="0" xfId="0" applyFont="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30" fillId="22" borderId="69" xfId="0" applyFont="1" applyFill="1" applyBorder="1" applyAlignment="1" applyProtection="1">
      <alignment horizontal="left" vertical="center"/>
      <protection hidden="1"/>
    </xf>
    <xf numFmtId="0" fontId="30" fillId="22" borderId="70" xfId="0" applyFont="1" applyFill="1" applyBorder="1" applyAlignment="1" applyProtection="1">
      <alignment horizontal="left" vertical="center"/>
      <protection hidden="1"/>
    </xf>
    <xf numFmtId="0" fontId="13" fillId="17" borderId="0" xfId="0" applyFont="1" applyFill="1" applyAlignment="1" applyProtection="1">
      <alignment horizontal="center" vertical="center"/>
      <protection hidden="1"/>
    </xf>
    <xf numFmtId="0" fontId="13" fillId="0" borderId="0" xfId="0" applyFont="1" applyAlignment="1" applyProtection="1">
      <alignment horizontal="left" vertical="center"/>
      <protection hidden="1"/>
    </xf>
    <xf numFmtId="164" fontId="58" fillId="17" borderId="0" xfId="0" applyNumberFormat="1" applyFont="1" applyFill="1" applyAlignment="1" applyProtection="1">
      <alignment horizontal="center" vertical="center" textRotation="90"/>
      <protection locked="0" hidden="1"/>
    </xf>
    <xf numFmtId="0" fontId="45" fillId="6" borderId="0" xfId="0" applyFont="1" applyFill="1" applyAlignment="1" applyProtection="1">
      <alignment horizontal="left" vertical="center" wrapText="1"/>
      <protection hidden="1"/>
    </xf>
    <xf numFmtId="0" fontId="16" fillId="7" borderId="64" xfId="0" applyFont="1" applyFill="1" applyBorder="1" applyAlignment="1" applyProtection="1">
      <alignment horizontal="center" vertical="center" wrapText="1"/>
      <protection locked="0" hidden="1"/>
    </xf>
    <xf numFmtId="0" fontId="16" fillId="7" borderId="71" xfId="0" applyFont="1" applyFill="1" applyBorder="1" applyAlignment="1" applyProtection="1">
      <alignment horizontal="center" vertical="center" wrapText="1"/>
      <protection locked="0" hidden="1"/>
    </xf>
    <xf numFmtId="164" fontId="60" fillId="17" borderId="0" xfId="0" applyNumberFormat="1" applyFont="1" applyFill="1" applyAlignment="1" applyProtection="1">
      <alignment horizontal="center" vertical="center"/>
      <protection locked="0" hidden="1"/>
    </xf>
    <xf numFmtId="164" fontId="58" fillId="17" borderId="0" xfId="0" applyNumberFormat="1" applyFont="1" applyFill="1" applyAlignment="1" applyProtection="1">
      <alignment horizontal="center" vertical="center" textRotation="180"/>
      <protection locked="0" hidden="1"/>
    </xf>
    <xf numFmtId="0" fontId="16" fillId="11" borderId="63"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right" vertical="center"/>
      <protection hidden="1"/>
    </xf>
    <xf numFmtId="0" fontId="30" fillId="22" borderId="57" xfId="0" applyFont="1" applyFill="1" applyBorder="1" applyAlignment="1" applyProtection="1">
      <alignment horizontal="right" vertical="center"/>
      <protection hidden="1"/>
    </xf>
    <xf numFmtId="0" fontId="13" fillId="17" borderId="0" xfId="0" applyFont="1" applyFill="1" applyAlignment="1" applyProtection="1">
      <alignment horizontal="center" vertical="center" textRotation="180"/>
      <protection hidden="1"/>
    </xf>
    <xf numFmtId="0" fontId="45" fillId="17" borderId="46" xfId="0" applyFont="1" applyFill="1" applyBorder="1" applyAlignment="1" applyProtection="1">
      <alignment horizontal="left" vertical="center" wrapText="1"/>
      <protection hidden="1"/>
    </xf>
    <xf numFmtId="0" fontId="45" fillId="17" borderId="0" xfId="0" applyFont="1" applyFill="1" applyAlignment="1" applyProtection="1">
      <alignment horizontal="left" vertical="center" wrapText="1"/>
      <protection hidden="1"/>
    </xf>
    <xf numFmtId="0" fontId="45" fillId="17" borderId="38" xfId="0" applyFont="1" applyFill="1" applyBorder="1" applyAlignment="1" applyProtection="1">
      <alignment horizontal="left" vertical="center" wrapText="1"/>
      <protection hidden="1"/>
    </xf>
    <xf numFmtId="0" fontId="45" fillId="17" borderId="47" xfId="0" applyFont="1" applyFill="1" applyBorder="1" applyAlignment="1" applyProtection="1">
      <alignment horizontal="left" vertical="center" wrapText="1"/>
      <protection hidden="1"/>
    </xf>
    <xf numFmtId="0" fontId="45" fillId="17" borderId="29" xfId="0" applyFont="1" applyFill="1" applyBorder="1" applyAlignment="1" applyProtection="1">
      <alignment horizontal="left" vertical="center" wrapText="1"/>
      <protection hidden="1"/>
    </xf>
    <xf numFmtId="0" fontId="45" fillId="17" borderId="48" xfId="0" applyFont="1" applyFill="1" applyBorder="1" applyAlignment="1" applyProtection="1">
      <alignment horizontal="left" vertical="center" wrapText="1"/>
      <protection hidden="1"/>
    </xf>
    <xf numFmtId="0" fontId="45" fillId="17" borderId="43" xfId="0" applyFont="1" applyFill="1" applyBorder="1" applyAlignment="1" applyProtection="1">
      <alignment horizontal="left" vertical="center" wrapText="1"/>
      <protection hidden="1"/>
    </xf>
    <xf numFmtId="0" fontId="45" fillId="17" borderId="44" xfId="0" applyFont="1" applyFill="1" applyBorder="1" applyAlignment="1" applyProtection="1">
      <alignment horizontal="left" vertical="center" wrapText="1"/>
      <protection hidden="1"/>
    </xf>
    <xf numFmtId="0" fontId="45" fillId="17" borderId="45" xfId="0" applyFont="1" applyFill="1" applyBorder="1" applyAlignment="1" applyProtection="1">
      <alignment horizontal="left" vertical="center" wrapText="1"/>
      <protection hidden="1"/>
    </xf>
    <xf numFmtId="164" fontId="18" fillId="23" borderId="66" xfId="0" applyNumberFormat="1" applyFont="1" applyFill="1" applyBorder="1" applyAlignment="1" applyProtection="1">
      <alignment horizontal="center" vertical="center"/>
      <protection locked="0" hidden="1"/>
    </xf>
    <xf numFmtId="164" fontId="18" fillId="23" borderId="67" xfId="0" applyNumberFormat="1" applyFont="1" applyFill="1" applyBorder="1" applyAlignment="1" applyProtection="1">
      <alignment horizontal="center" vertical="center"/>
      <protection locked="0" hidden="1"/>
    </xf>
    <xf numFmtId="0" fontId="0" fillId="7" borderId="57" xfId="0" applyFill="1" applyBorder="1" applyAlignment="1" applyProtection="1">
      <alignment horizontal="center" vertical="center"/>
      <protection locked="0" hidden="1"/>
    </xf>
    <xf numFmtId="0" fontId="0" fillId="7" borderId="63" xfId="0" applyFill="1" applyBorder="1" applyAlignment="1" applyProtection="1">
      <alignment horizontal="center" vertical="center"/>
      <protection locked="0" hidden="1"/>
    </xf>
    <xf numFmtId="0" fontId="62" fillId="22" borderId="57" xfId="0" applyFont="1" applyFill="1" applyBorder="1" applyAlignment="1" applyProtection="1">
      <alignment horizontal="center" vertical="center"/>
      <protection hidden="1"/>
    </xf>
    <xf numFmtId="0" fontId="16" fillId="0" borderId="0" xfId="0" applyFont="1" applyAlignment="1" applyProtection="1">
      <alignment horizontal="left" vertical="center"/>
      <protection hidden="1"/>
    </xf>
    <xf numFmtId="0" fontId="16" fillId="23" borderId="57" xfId="0" applyFont="1" applyFill="1" applyBorder="1" applyAlignment="1" applyProtection="1">
      <alignment horizontal="center" vertical="center"/>
      <protection locked="0" hidden="1"/>
    </xf>
    <xf numFmtId="0" fontId="16" fillId="23" borderId="63" xfId="0" applyFont="1" applyFill="1" applyBorder="1" applyAlignment="1" applyProtection="1">
      <alignment horizontal="center" vertical="center"/>
      <protection locked="0" hidden="1"/>
    </xf>
    <xf numFmtId="0" fontId="29" fillId="7" borderId="57"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center" vertical="center"/>
      <protection hidden="1"/>
    </xf>
    <xf numFmtId="0" fontId="30" fillId="22" borderId="57" xfId="0" applyFont="1" applyFill="1" applyBorder="1" applyAlignment="1" applyProtection="1">
      <alignment horizontal="center" vertical="center"/>
      <protection hidden="1"/>
    </xf>
    <xf numFmtId="0" fontId="30" fillId="10" borderId="58" xfId="0" applyFont="1" applyFill="1" applyBorder="1" applyAlignment="1" applyProtection="1">
      <alignment horizontal="left" vertical="center"/>
      <protection hidden="1"/>
    </xf>
    <xf numFmtId="0" fontId="30" fillId="10" borderId="57" xfId="0" applyFont="1" applyFill="1" applyBorder="1" applyAlignment="1" applyProtection="1">
      <alignment horizontal="left" vertical="center"/>
      <protection hidden="1"/>
    </xf>
    <xf numFmtId="0" fontId="61" fillId="25" borderId="68" xfId="0" applyFont="1" applyFill="1" applyBorder="1" applyAlignment="1" applyProtection="1">
      <alignment horizontal="center" vertical="center"/>
      <protection hidden="1"/>
    </xf>
    <xf numFmtId="0" fontId="61" fillId="25" borderId="66" xfId="0" applyFont="1" applyFill="1" applyBorder="1" applyAlignment="1" applyProtection="1">
      <alignment horizontal="center" vertical="center"/>
      <protection hidden="1"/>
    </xf>
    <xf numFmtId="0" fontId="45" fillId="0" borderId="7" xfId="0" applyFont="1" applyBorder="1" applyAlignment="1">
      <alignment horizontal="center"/>
    </xf>
    <xf numFmtId="0" fontId="45" fillId="0" borderId="10" xfId="0" applyFont="1" applyBorder="1" applyAlignment="1">
      <alignment horizontal="center"/>
    </xf>
    <xf numFmtId="164" fontId="18" fillId="5" borderId="0" xfId="0" applyNumberFormat="1" applyFont="1" applyFill="1" applyAlignment="1" applyProtection="1">
      <alignment horizontal="center" vertical="center"/>
      <protection locked="0" hidden="1"/>
    </xf>
    <xf numFmtId="2" fontId="57" fillId="7" borderId="0" xfId="0" applyNumberFormat="1" applyFont="1" applyFill="1" applyAlignment="1" applyProtection="1">
      <alignment horizontal="right" vertical="center"/>
      <protection hidden="1"/>
    </xf>
    <xf numFmtId="2" fontId="57" fillId="7" borderId="5" xfId="0" applyNumberFormat="1" applyFont="1" applyFill="1" applyBorder="1" applyAlignment="1" applyProtection="1">
      <alignment horizontal="right" vertical="center"/>
      <protection hidden="1"/>
    </xf>
    <xf numFmtId="164" fontId="16" fillId="7" borderId="57" xfId="0" applyNumberFormat="1" applyFont="1" applyFill="1" applyBorder="1" applyAlignment="1" applyProtection="1">
      <alignment horizontal="center" vertical="center"/>
      <protection locked="0" hidden="1"/>
    </xf>
    <xf numFmtId="164" fontId="16" fillId="7" borderId="63" xfId="0" applyNumberFormat="1" applyFont="1" applyFill="1" applyBorder="1" applyAlignment="1" applyProtection="1">
      <alignment horizontal="center" vertical="center"/>
      <protection locked="0" hidden="1"/>
    </xf>
    <xf numFmtId="0" fontId="9" fillId="24" borderId="0" xfId="0" applyFont="1" applyFill="1" applyAlignment="1" applyProtection="1">
      <alignment horizontal="center" vertical="center"/>
      <protection hidden="1"/>
    </xf>
    <xf numFmtId="0" fontId="0" fillId="23" borderId="15" xfId="0" applyFill="1" applyBorder="1" applyAlignment="1" applyProtection="1">
      <alignment horizontal="center" vertical="center"/>
      <protection hidden="1"/>
    </xf>
    <xf numFmtId="0" fontId="13" fillId="0" borderId="0" xfId="0" applyFont="1" applyAlignment="1" applyProtection="1">
      <alignment horizontal="right" vertical="center" textRotation="90" wrapText="1"/>
      <protection hidden="1"/>
    </xf>
    <xf numFmtId="0" fontId="13" fillId="17" borderId="0" xfId="0" applyFont="1" applyFill="1" applyAlignment="1" applyProtection="1">
      <alignment horizontal="center" vertical="center" textRotation="90"/>
      <protection hidden="1"/>
    </xf>
    <xf numFmtId="0" fontId="35" fillId="0" borderId="63" xfId="0" applyFont="1" applyBorder="1" applyAlignment="1" applyProtection="1">
      <alignment horizontal="center" vertical="center"/>
      <protection hidden="1"/>
    </xf>
    <xf numFmtId="0" fontId="13" fillId="0" borderId="0" xfId="0" applyFont="1" applyAlignment="1" applyProtection="1">
      <alignment horizontal="left" vertical="center" textRotation="180" wrapText="1"/>
      <protection hidden="1"/>
    </xf>
    <xf numFmtId="0" fontId="63" fillId="0" borderId="0" xfId="0" applyFont="1" applyAlignment="1" applyProtection="1">
      <alignment horizontal="center" vertical="center" wrapText="1"/>
      <protection hidden="1"/>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2" fontId="57" fillId="7" borderId="0" xfId="0" applyNumberFormat="1" applyFont="1" applyFill="1" applyAlignment="1" applyProtection="1">
      <alignment horizontal="left" vertical="center"/>
      <protection hidden="1"/>
    </xf>
    <xf numFmtId="2" fontId="57" fillId="7" borderId="4" xfId="0" applyNumberFormat="1" applyFont="1" applyFill="1" applyBorder="1" applyAlignment="1" applyProtection="1">
      <alignment horizontal="left" vertical="center"/>
      <protection hidden="1"/>
    </xf>
    <xf numFmtId="2" fontId="57" fillId="7" borderId="5" xfId="0" applyNumberFormat="1" applyFont="1" applyFill="1" applyBorder="1" applyAlignment="1" applyProtection="1">
      <alignment horizontal="left" vertical="center"/>
      <protection hidden="1"/>
    </xf>
    <xf numFmtId="2" fontId="57" fillId="7" borderId="17" xfId="0" applyNumberFormat="1" applyFont="1" applyFill="1" applyBorder="1" applyAlignment="1" applyProtection="1">
      <alignment horizontal="left" vertical="center"/>
      <protection hidden="1"/>
    </xf>
    <xf numFmtId="0" fontId="30" fillId="22" borderId="11" xfId="0" applyFont="1" applyFill="1" applyBorder="1" applyAlignment="1" applyProtection="1">
      <alignment horizontal="right" vertical="center" indent="1"/>
      <protection hidden="1"/>
    </xf>
    <xf numFmtId="0" fontId="30" fillId="22" borderId="0" xfId="0" applyFont="1" applyFill="1" applyAlignment="1" applyProtection="1">
      <alignment horizontal="right" vertical="center" indent="1"/>
      <protection hidden="1"/>
    </xf>
    <xf numFmtId="0" fontId="30" fillId="22" borderId="16" xfId="0" applyFont="1" applyFill="1" applyBorder="1" applyAlignment="1" applyProtection="1">
      <alignment horizontal="right" vertical="center" indent="1"/>
      <protection hidden="1"/>
    </xf>
    <xf numFmtId="0" fontId="30" fillId="22" borderId="5" xfId="0" applyFont="1" applyFill="1" applyBorder="1" applyAlignment="1" applyProtection="1">
      <alignment horizontal="right" vertical="center" indent="1"/>
      <protection hidden="1"/>
    </xf>
    <xf numFmtId="0" fontId="18" fillId="25" borderId="58" xfId="0" applyFont="1" applyFill="1" applyBorder="1" applyAlignment="1" applyProtection="1">
      <alignment horizontal="right" vertical="center"/>
      <protection hidden="1"/>
    </xf>
    <xf numFmtId="0" fontId="18" fillId="25" borderId="57" xfId="0" applyFont="1" applyFill="1" applyBorder="1" applyAlignment="1" applyProtection="1">
      <alignment horizontal="right" vertical="center"/>
      <protection hidden="1"/>
    </xf>
    <xf numFmtId="0" fontId="0" fillId="5" borderId="5" xfId="0" applyFill="1" applyBorder="1" applyAlignment="1" applyProtection="1">
      <alignment horizontal="center" vertical="center"/>
      <protection hidden="1"/>
    </xf>
    <xf numFmtId="0" fontId="30" fillId="10" borderId="58" xfId="0" applyFont="1" applyFill="1" applyBorder="1" applyAlignment="1" applyProtection="1">
      <alignment horizontal="right" vertical="center"/>
      <protection hidden="1"/>
    </xf>
    <xf numFmtId="0" fontId="30" fillId="10" borderId="57" xfId="0" applyFont="1" applyFill="1" applyBorder="1" applyAlignment="1" applyProtection="1">
      <alignment horizontal="right" vertical="center"/>
      <protection hidden="1"/>
    </xf>
    <xf numFmtId="0" fontId="28" fillId="0" borderId="0" xfId="0" applyFont="1" applyAlignment="1" applyProtection="1">
      <alignment horizontal="center" vertical="center"/>
      <protection locked="0" hidden="1"/>
    </xf>
    <xf numFmtId="0" fontId="16" fillId="17" borderId="66" xfId="0" applyFont="1" applyFill="1" applyBorder="1" applyAlignment="1" applyProtection="1">
      <alignment horizontal="center" vertical="center"/>
      <protection locked="0" hidden="1"/>
    </xf>
    <xf numFmtId="0" fontId="16" fillId="17" borderId="67" xfId="0" applyFont="1" applyFill="1" applyBorder="1" applyAlignment="1" applyProtection="1">
      <alignment horizontal="center" vertical="center"/>
      <protection locked="0" hidden="1"/>
    </xf>
    <xf numFmtId="44" fontId="16" fillId="17" borderId="66" xfId="21" applyFont="1" applyFill="1" applyBorder="1" applyAlignment="1" applyProtection="1">
      <alignment horizontal="right" vertical="center"/>
      <protection locked="0" hidden="1"/>
    </xf>
    <xf numFmtId="0" fontId="18" fillId="17" borderId="0" xfId="0" applyFont="1" applyFill="1" applyAlignment="1" applyProtection="1">
      <alignment horizontal="left" vertical="center"/>
      <protection hidden="1"/>
    </xf>
    <xf numFmtId="0" fontId="18" fillId="17" borderId="0" xfId="0" applyFont="1" applyFill="1" applyAlignment="1" applyProtection="1">
      <alignment horizontal="center" vertical="center"/>
      <protection hidden="1"/>
    </xf>
    <xf numFmtId="0" fontId="6" fillId="17" borderId="0" xfId="0" applyFont="1" applyFill="1" applyAlignment="1" applyProtection="1">
      <alignment horizontal="center" vertical="center"/>
      <protection hidden="1"/>
    </xf>
    <xf numFmtId="164" fontId="13" fillId="16" borderId="29" xfId="0" applyNumberFormat="1" applyFont="1" applyFill="1" applyBorder="1" applyAlignment="1" applyProtection="1">
      <alignment horizontal="center" vertical="center"/>
      <protection hidden="1"/>
    </xf>
    <xf numFmtId="0" fontId="9" fillId="10" borderId="29" xfId="0" applyFont="1" applyFill="1" applyBorder="1" applyAlignment="1" applyProtection="1">
      <alignment horizontal="center" vertical="center"/>
      <protection hidden="1"/>
    </xf>
    <xf numFmtId="0" fontId="76" fillId="10" borderId="0" xfId="7" applyFont="1" applyFill="1" applyAlignment="1" applyProtection="1">
      <alignment horizontal="left" vertical="center"/>
      <protection hidden="1"/>
    </xf>
    <xf numFmtId="0" fontId="67" fillId="0" borderId="0" xfId="8" applyFont="1" applyAlignment="1" applyProtection="1">
      <alignment horizontal="left" wrapText="1" indent="1"/>
      <protection hidden="1"/>
    </xf>
    <xf numFmtId="0" fontId="13" fillId="11" borderId="29" xfId="0" applyFont="1" applyFill="1" applyBorder="1" applyAlignment="1" applyProtection="1">
      <alignment horizontal="center" vertical="center"/>
      <protection hidden="1"/>
    </xf>
    <xf numFmtId="43" fontId="13" fillId="11" borderId="30" xfId="19" applyFont="1" applyFill="1" applyBorder="1" applyAlignment="1" applyProtection="1">
      <alignment horizontal="right"/>
      <protection hidden="1"/>
    </xf>
    <xf numFmtId="43" fontId="13" fillId="11" borderId="8" xfId="19" applyFont="1" applyFill="1" applyBorder="1" applyAlignment="1" applyProtection="1">
      <alignment horizontal="right"/>
      <protection hidden="1"/>
    </xf>
    <xf numFmtId="0" fontId="9" fillId="10" borderId="29" xfId="0" applyFont="1" applyFill="1" applyBorder="1" applyAlignment="1" applyProtection="1">
      <alignment horizontal="left" vertical="center" indent="1"/>
      <protection hidden="1"/>
    </xf>
    <xf numFmtId="0" fontId="13" fillId="11" borderId="73" xfId="0" applyFont="1" applyFill="1" applyBorder="1" applyAlignment="1" applyProtection="1">
      <alignment horizontal="center"/>
      <protection locked="0" hidden="1"/>
    </xf>
    <xf numFmtId="0" fontId="13" fillId="11" borderId="29" xfId="0" applyFont="1" applyFill="1" applyBorder="1" applyAlignment="1" applyProtection="1">
      <alignment horizontal="center"/>
      <protection locked="0" hidden="1"/>
    </xf>
    <xf numFmtId="0" fontId="13" fillId="11" borderId="74" xfId="0" applyFont="1" applyFill="1" applyBorder="1" applyAlignment="1" applyProtection="1">
      <alignment horizontal="center"/>
      <protection locked="0" hidden="1"/>
    </xf>
    <xf numFmtId="0" fontId="13" fillId="11" borderId="52" xfId="0" applyFont="1" applyFill="1" applyBorder="1" applyAlignment="1" applyProtection="1">
      <alignment horizontal="center" vertical="center" wrapText="1"/>
      <protection locked="0" hidden="1"/>
    </xf>
    <xf numFmtId="0" fontId="13" fillId="11" borderId="0" xfId="0" applyFont="1" applyFill="1" applyAlignment="1" applyProtection="1">
      <alignment horizontal="center" vertical="center" wrapText="1"/>
      <protection locked="0" hidden="1"/>
    </xf>
    <xf numFmtId="0" fontId="13" fillId="11" borderId="53" xfId="0" applyFont="1" applyFill="1" applyBorder="1" applyAlignment="1" applyProtection="1">
      <alignment horizontal="center" vertical="center" wrapText="1"/>
      <protection locked="0" hidden="1"/>
    </xf>
    <xf numFmtId="0" fontId="13" fillId="11" borderId="54" xfId="0" applyFont="1" applyFill="1" applyBorder="1" applyAlignment="1" applyProtection="1">
      <alignment horizontal="center" vertical="center" wrapText="1"/>
      <protection locked="0" hidden="1"/>
    </xf>
    <xf numFmtId="0" fontId="13" fillId="11" borderId="55" xfId="0" applyFont="1" applyFill="1" applyBorder="1" applyAlignment="1" applyProtection="1">
      <alignment horizontal="center" vertical="center" wrapText="1"/>
      <protection locked="0" hidden="1"/>
    </xf>
    <xf numFmtId="0" fontId="13" fillId="11" borderId="56" xfId="0" applyFont="1" applyFill="1" applyBorder="1" applyAlignment="1" applyProtection="1">
      <alignment horizontal="center" vertical="center" wrapText="1"/>
      <protection locked="0" hidden="1"/>
    </xf>
    <xf numFmtId="0" fontId="9" fillId="10" borderId="0" xfId="0" applyFont="1" applyFill="1" applyAlignment="1" applyProtection="1">
      <alignment horizontal="left" vertical="center"/>
      <protection hidden="1"/>
    </xf>
    <xf numFmtId="0" fontId="9" fillId="10" borderId="29" xfId="0" applyFont="1" applyFill="1" applyBorder="1" applyAlignment="1" applyProtection="1">
      <alignment horizontal="left" vertical="center"/>
      <protection hidden="1"/>
    </xf>
    <xf numFmtId="0" fontId="9" fillId="10" borderId="53" xfId="0" applyFont="1" applyFill="1" applyBorder="1" applyAlignment="1" applyProtection="1">
      <alignment horizontal="left" vertical="center"/>
      <protection hidden="1"/>
    </xf>
    <xf numFmtId="0" fontId="13" fillId="11" borderId="52" xfId="0" applyFont="1" applyFill="1" applyBorder="1" applyAlignment="1" applyProtection="1">
      <alignment horizontal="center"/>
      <protection locked="0" hidden="1"/>
    </xf>
    <xf numFmtId="0" fontId="13" fillId="11" borderId="53" xfId="0" applyFont="1" applyFill="1" applyBorder="1" applyAlignment="1" applyProtection="1">
      <alignment horizontal="center"/>
      <protection locked="0" hidden="1"/>
    </xf>
    <xf numFmtId="0" fontId="13" fillId="0" borderId="0" xfId="0" applyFont="1" applyAlignment="1" applyProtection="1">
      <alignment horizontal="center" vertical="center" wrapText="1"/>
      <protection hidden="1"/>
    </xf>
    <xf numFmtId="0" fontId="9" fillId="17" borderId="0" xfId="0" applyFont="1" applyFill="1" applyAlignment="1" applyProtection="1">
      <alignment horizontal="center"/>
      <protection hidden="1"/>
    </xf>
    <xf numFmtId="2" fontId="13" fillId="0" borderId="0" xfId="0" applyNumberFormat="1" applyFont="1" applyAlignment="1" applyProtection="1">
      <alignment horizontal="center"/>
      <protection hidden="1"/>
    </xf>
    <xf numFmtId="0" fontId="13" fillId="17" borderId="0" xfId="0" applyFont="1" applyFill="1" applyAlignment="1" applyProtection="1">
      <alignment horizontal="center"/>
      <protection locked="0" hidden="1"/>
    </xf>
    <xf numFmtId="0" fontId="0" fillId="0" borderId="0" xfId="0" applyAlignment="1" applyProtection="1">
      <alignment horizontal="center" vertical="center" wrapText="1"/>
      <protection hidden="1"/>
    </xf>
    <xf numFmtId="0" fontId="84" fillId="0" borderId="0" xfId="1" applyFont="1" applyAlignment="1" applyProtection="1">
      <alignment horizontal="center" vertical="center" wrapText="1"/>
      <protection locked="0" hidden="1"/>
    </xf>
    <xf numFmtId="0" fontId="13" fillId="11" borderId="75" xfId="0" applyFont="1" applyFill="1" applyBorder="1" applyAlignment="1" applyProtection="1">
      <alignment horizontal="center"/>
      <protection hidden="1"/>
    </xf>
    <xf numFmtId="0" fontId="13" fillId="11" borderId="76" xfId="0" applyFont="1" applyFill="1" applyBorder="1" applyAlignment="1" applyProtection="1">
      <alignment horizontal="center"/>
      <protection hidden="1"/>
    </xf>
    <xf numFmtId="0" fontId="13" fillId="11" borderId="77" xfId="0" applyFont="1" applyFill="1" applyBorder="1" applyAlignment="1" applyProtection="1">
      <alignment horizontal="center"/>
      <protection hidden="1"/>
    </xf>
    <xf numFmtId="0" fontId="9" fillId="10" borderId="0" xfId="0" applyFont="1" applyFill="1" applyAlignment="1" applyProtection="1">
      <alignment horizontal="left" vertical="center" indent="1"/>
      <protection hidden="1"/>
    </xf>
    <xf numFmtId="0" fontId="9" fillId="17" borderId="0" xfId="0" applyFont="1" applyFill="1" applyAlignment="1" applyProtection="1">
      <alignment horizontal="left" vertical="center" indent="1"/>
      <protection hidden="1"/>
    </xf>
    <xf numFmtId="0" fontId="0" fillId="0" borderId="93" xfId="0" applyBorder="1" applyAlignment="1" applyProtection="1">
      <alignment horizontal="center"/>
      <protection hidden="1"/>
    </xf>
    <xf numFmtId="0" fontId="16" fillId="0" borderId="0" xfId="0" applyFont="1" applyAlignment="1" applyProtection="1">
      <alignment horizontal="center" vertical="center" textRotation="90" wrapText="1"/>
      <protection locked="0" hidden="1"/>
    </xf>
    <xf numFmtId="0" fontId="20" fillId="0" borderId="0" xfId="0" applyFont="1" applyAlignment="1" applyProtection="1">
      <alignment horizontal="center" vertical="center" textRotation="90"/>
      <protection hidden="1"/>
    </xf>
    <xf numFmtId="0" fontId="16" fillId="0" borderId="0" xfId="0" applyFont="1" applyAlignment="1" applyProtection="1">
      <alignment horizontal="center" vertical="center" textRotation="90"/>
      <protection hidden="1"/>
    </xf>
    <xf numFmtId="0" fontId="69" fillId="11" borderId="0" xfId="0" applyFont="1" applyFill="1" applyAlignment="1" applyProtection="1">
      <alignment horizontal="left" vertical="center"/>
      <protection hidden="1"/>
    </xf>
    <xf numFmtId="0" fontId="20" fillId="0" borderId="0" xfId="0" applyFont="1" applyAlignment="1" applyProtection="1">
      <alignment horizontal="center" vertical="center"/>
      <protection hidden="1"/>
    </xf>
    <xf numFmtId="0" fontId="69" fillId="16" borderId="0" xfId="0" applyFont="1" applyFill="1" applyAlignment="1" applyProtection="1">
      <alignment horizontal="left" vertical="center"/>
      <protection hidden="1"/>
    </xf>
    <xf numFmtId="0" fontId="105" fillId="0" borderId="0" xfId="0" applyFont="1" applyAlignment="1" applyProtection="1">
      <alignment horizontal="left" vertical="center"/>
      <protection hidden="1"/>
    </xf>
    <xf numFmtId="0" fontId="65" fillId="35" borderId="61" xfId="1" applyFont="1" applyFill="1" applyBorder="1" applyAlignment="1" applyProtection="1">
      <alignment horizontal="center" vertical="center"/>
      <protection hidden="1"/>
    </xf>
    <xf numFmtId="0" fontId="65" fillId="35" borderId="0" xfId="1" applyFont="1" applyFill="1" applyBorder="1" applyAlignment="1" applyProtection="1">
      <alignment horizontal="center" vertical="center"/>
      <protection hidden="1"/>
    </xf>
    <xf numFmtId="0" fontId="85" fillId="10" borderId="0" xfId="7" applyFont="1" applyFill="1" applyAlignment="1" applyProtection="1">
      <alignment horizontal="center" vertical="center"/>
      <protection hidden="1"/>
    </xf>
    <xf numFmtId="0" fontId="0" fillId="0" borderId="0" xfId="0" applyAlignment="1" applyProtection="1">
      <alignment horizontal="left" vertical="center" indent="2"/>
      <protection hidden="1"/>
    </xf>
    <xf numFmtId="0" fontId="0" fillId="0" borderId="0" xfId="0" applyAlignment="1" applyProtection="1">
      <alignment horizontal="center" vertical="center"/>
      <protection hidden="1"/>
    </xf>
    <xf numFmtId="0" fontId="69" fillId="11" borderId="0" xfId="0" applyFont="1" applyFill="1" applyAlignment="1" applyProtection="1">
      <alignment horizontal="left"/>
      <protection hidden="1"/>
    </xf>
    <xf numFmtId="0" fontId="66" fillId="11" borderId="0" xfId="0" applyFont="1" applyFill="1" applyAlignment="1" applyProtection="1">
      <alignment horizontal="center"/>
      <protection hidden="1"/>
    </xf>
    <xf numFmtId="0" fontId="66" fillId="11" borderId="0" xfId="0" applyFont="1" applyFill="1" applyAlignment="1" applyProtection="1">
      <alignment horizontal="left"/>
      <protection hidden="1"/>
    </xf>
    <xf numFmtId="0" fontId="68" fillId="35" borderId="0" xfId="1" applyFont="1" applyFill="1" applyAlignment="1" applyProtection="1">
      <alignment horizontal="center"/>
      <protection locked="0" hidden="1"/>
    </xf>
    <xf numFmtId="0" fontId="13" fillId="10" borderId="0" xfId="0" applyFont="1" applyFill="1" applyAlignment="1" applyProtection="1">
      <alignment horizontal="left"/>
      <protection hidden="1"/>
    </xf>
    <xf numFmtId="14" fontId="0" fillId="0" borderId="0" xfId="0" applyNumberFormat="1" applyAlignment="1" applyProtection="1">
      <alignment horizontal="center"/>
      <protection hidden="1"/>
    </xf>
    <xf numFmtId="0" fontId="13" fillId="10" borderId="0" xfId="0" applyFont="1" applyFill="1" applyAlignment="1" applyProtection="1">
      <alignment horizontal="left" vertical="center" wrapText="1"/>
      <protection hidden="1"/>
    </xf>
    <xf numFmtId="2" fontId="13" fillId="11" borderId="0" xfId="0" applyNumberFormat="1" applyFont="1" applyFill="1" applyAlignment="1" applyProtection="1">
      <alignment horizontal="center" vertical="center"/>
      <protection hidden="1"/>
    </xf>
    <xf numFmtId="2" fontId="13" fillId="11" borderId="0" xfId="21" applyNumberFormat="1" applyFont="1" applyFill="1" applyAlignment="1" applyProtection="1">
      <alignment horizontal="center" vertical="center"/>
      <protection hidden="1"/>
    </xf>
    <xf numFmtId="0" fontId="7" fillId="0" borderId="0" xfId="1" applyFill="1" applyBorder="1" applyAlignment="1" applyProtection="1">
      <alignment horizontal="center" vertical="center" wrapText="1"/>
      <protection hidden="1"/>
    </xf>
    <xf numFmtId="0" fontId="0" fillId="0" borderId="0" xfId="0" applyProtection="1">
      <protection hidden="1"/>
    </xf>
    <xf numFmtId="1" fontId="35" fillId="11" borderId="0" xfId="0" applyNumberFormat="1" applyFont="1" applyFill="1" applyAlignment="1" applyProtection="1">
      <alignment horizontal="center" vertical="center"/>
      <protection hidden="1"/>
    </xf>
    <xf numFmtId="0" fontId="33" fillId="35" borderId="0" xfId="1" applyFont="1" applyFill="1" applyAlignment="1" applyProtection="1">
      <alignment horizontal="center" vertical="center"/>
      <protection hidden="1"/>
    </xf>
    <xf numFmtId="0" fontId="30" fillId="11" borderId="0" xfId="9" applyFont="1" applyFill="1" applyAlignment="1" applyProtection="1">
      <alignment horizontal="center" vertical="center"/>
      <protection hidden="1"/>
    </xf>
    <xf numFmtId="0" fontId="21" fillId="0" borderId="0" xfId="9" applyFont="1" applyAlignment="1" applyProtection="1">
      <alignment horizontal="right" vertical="center"/>
      <protection hidden="1"/>
    </xf>
    <xf numFmtId="0" fontId="0" fillId="0" borderId="0" xfId="0" applyAlignment="1" applyProtection="1">
      <alignment horizontal="right" vertical="center"/>
      <protection hidden="1"/>
    </xf>
    <xf numFmtId="0" fontId="29" fillId="0" borderId="0" xfId="0" applyFont="1" applyAlignment="1" applyProtection="1">
      <alignment horizontal="center" vertical="center"/>
      <protection hidden="1"/>
    </xf>
    <xf numFmtId="0" fontId="36" fillId="0" borderId="0" xfId="8" applyFont="1" applyAlignment="1" applyProtection="1">
      <alignment horizontal="left" wrapText="1" indent="1"/>
      <protection hidden="1"/>
    </xf>
    <xf numFmtId="0" fontId="29" fillId="0" borderId="0" xfId="0" applyFont="1" applyAlignment="1" applyProtection="1">
      <alignment horizontal="center"/>
      <protection hidden="1"/>
    </xf>
    <xf numFmtId="0" fontId="13" fillId="0" borderId="0" xfId="0" applyFont="1" applyAlignment="1" applyProtection="1">
      <alignment horizontal="left" vertical="top" wrapText="1"/>
      <protection hidden="1"/>
    </xf>
    <xf numFmtId="0" fontId="9" fillId="0" borderId="0" xfId="0" applyFont="1" applyAlignment="1" applyProtection="1">
      <alignment horizontal="left"/>
      <protection hidden="1"/>
    </xf>
    <xf numFmtId="0" fontId="6" fillId="20" borderId="30" xfId="0" applyFont="1" applyFill="1" applyBorder="1" applyAlignment="1" applyProtection="1">
      <alignment horizontal="center" vertical="center"/>
      <protection hidden="1"/>
    </xf>
    <xf numFmtId="0" fontId="6" fillId="20" borderId="8" xfId="0" applyFont="1" applyFill="1" applyBorder="1" applyAlignment="1" applyProtection="1">
      <alignment horizontal="center" vertical="center"/>
      <protection hidden="1"/>
    </xf>
    <xf numFmtId="164" fontId="18" fillId="17" borderId="8" xfId="0" applyNumberFormat="1" applyFont="1" applyFill="1" applyBorder="1" applyAlignment="1" applyProtection="1">
      <alignment horizontal="center" vertical="center"/>
      <protection locked="0" hidden="1"/>
    </xf>
    <xf numFmtId="164" fontId="18" fillId="17" borderId="50" xfId="0" applyNumberFormat="1" applyFont="1" applyFill="1" applyBorder="1" applyAlignment="1" applyProtection="1">
      <alignment horizontal="center" vertical="center"/>
      <protection locked="0" hidden="1"/>
    </xf>
    <xf numFmtId="0" fontId="6" fillId="20" borderId="6" xfId="0" applyFont="1" applyFill="1" applyBorder="1" applyAlignment="1" applyProtection="1">
      <alignment horizontal="center" vertical="center" textRotation="90"/>
      <protection hidden="1"/>
    </xf>
    <xf numFmtId="0" fontId="6" fillId="20" borderId="14" xfId="0" applyFont="1" applyFill="1" applyBorder="1" applyAlignment="1" applyProtection="1">
      <alignment horizontal="center" vertical="center" textRotation="90"/>
      <protection hidden="1"/>
    </xf>
    <xf numFmtId="164" fontId="18" fillId="17" borderId="12" xfId="0" applyNumberFormat="1" applyFont="1" applyFill="1" applyBorder="1" applyAlignment="1" applyProtection="1">
      <alignment horizontal="center" vertical="center" textRotation="90"/>
      <protection locked="0" hidden="1"/>
    </xf>
    <xf numFmtId="164" fontId="18" fillId="17" borderId="6" xfId="0" applyNumberFormat="1" applyFont="1" applyFill="1" applyBorder="1" applyAlignment="1" applyProtection="1">
      <alignment horizontal="center" vertical="center" textRotation="90"/>
      <protection locked="0" hidden="1"/>
    </xf>
    <xf numFmtId="2" fontId="99" fillId="0" borderId="0" xfId="0" applyNumberFormat="1" applyFont="1" applyAlignment="1" applyProtection="1">
      <alignment horizontal="right" vertical="center"/>
      <protection hidden="1"/>
    </xf>
    <xf numFmtId="0" fontId="99" fillId="0" borderId="0" xfId="0" applyFont="1" applyAlignment="1" applyProtection="1">
      <alignment horizontal="right" vertical="center"/>
      <protection hidden="1"/>
    </xf>
    <xf numFmtId="0" fontId="6" fillId="20" borderId="31" xfId="0" applyFont="1" applyFill="1" applyBorder="1" applyAlignment="1" applyProtection="1">
      <alignment horizontal="left"/>
      <protection hidden="1"/>
    </xf>
    <xf numFmtId="0" fontId="0" fillId="17" borderId="31" xfId="0" applyFill="1" applyBorder="1" applyAlignment="1" applyProtection="1">
      <alignment horizontal="center"/>
      <protection hidden="1"/>
    </xf>
    <xf numFmtId="0" fontId="9" fillId="0" borderId="31" xfId="0" applyFont="1" applyBorder="1" applyAlignment="1" applyProtection="1">
      <alignment horizontal="left"/>
      <protection hidden="1"/>
    </xf>
    <xf numFmtId="0" fontId="0" fillId="17" borderId="31" xfId="0" applyFill="1" applyBorder="1" applyAlignment="1" applyProtection="1">
      <alignment horizontal="left"/>
      <protection hidden="1"/>
    </xf>
    <xf numFmtId="0" fontId="0" fillId="0" borderId="31" xfId="0" applyBorder="1" applyAlignment="1" applyProtection="1">
      <alignment horizontal="center"/>
      <protection hidden="1"/>
    </xf>
    <xf numFmtId="0" fontId="6" fillId="20" borderId="31" xfId="0" applyFont="1" applyFill="1" applyBorder="1" applyAlignment="1" applyProtection="1">
      <alignment horizontal="center"/>
      <protection hidden="1"/>
    </xf>
    <xf numFmtId="0" fontId="78" fillId="0" borderId="0" xfId="0" applyFont="1" applyAlignment="1" applyProtection="1">
      <alignment horizontal="center" vertical="center"/>
      <protection hidden="1"/>
    </xf>
    <xf numFmtId="0" fontId="102" fillId="0" borderId="30" xfId="0" applyFont="1" applyBorder="1" applyAlignment="1" applyProtection="1">
      <alignment horizontal="center" vertical="center"/>
      <protection hidden="1"/>
    </xf>
    <xf numFmtId="0" fontId="102" fillId="0" borderId="8" xfId="0" applyFont="1" applyBorder="1" applyAlignment="1" applyProtection="1">
      <alignment horizontal="center" vertical="center"/>
      <protection hidden="1"/>
    </xf>
    <xf numFmtId="0" fontId="102" fillId="0" borderId="50" xfId="0" applyFont="1" applyBorder="1" applyAlignment="1" applyProtection="1">
      <alignment horizontal="center" vertical="center"/>
      <protection hidden="1"/>
    </xf>
    <xf numFmtId="0" fontId="19" fillId="20" borderId="31" xfId="0" applyFont="1" applyFill="1" applyBorder="1" applyAlignment="1" applyProtection="1">
      <alignment horizontal="center" vertical="center"/>
      <protection hidden="1"/>
    </xf>
    <xf numFmtId="0" fontId="27" fillId="17" borderId="0" xfId="0" applyFont="1" applyFill="1" applyAlignment="1" applyProtection="1">
      <alignment horizontal="center"/>
      <protection hidden="1"/>
    </xf>
    <xf numFmtId="0" fontId="6" fillId="20" borderId="0" xfId="0" applyFont="1" applyFill="1" applyAlignment="1" applyProtection="1">
      <alignment horizontal="left"/>
      <protection hidden="1"/>
    </xf>
    <xf numFmtId="49" fontId="12" fillId="0" borderId="43" xfId="0" applyNumberFormat="1" applyFont="1" applyBorder="1" applyAlignment="1" applyProtection="1">
      <alignment horizontal="center" vertical="center" wrapText="1"/>
      <protection hidden="1"/>
    </xf>
    <xf numFmtId="49" fontId="12" fillId="0" borderId="44" xfId="0" applyNumberFormat="1" applyFont="1" applyBorder="1" applyAlignment="1" applyProtection="1">
      <alignment horizontal="center" vertical="center" wrapText="1"/>
      <protection hidden="1"/>
    </xf>
    <xf numFmtId="49" fontId="12" fillId="0" borderId="45" xfId="0" applyNumberFormat="1" applyFont="1" applyBorder="1" applyAlignment="1" applyProtection="1">
      <alignment horizontal="center" vertical="center" wrapText="1"/>
      <protection hidden="1"/>
    </xf>
    <xf numFmtId="49" fontId="12" fillId="0" borderId="46" xfId="0" applyNumberFormat="1" applyFont="1" applyBorder="1" applyAlignment="1" applyProtection="1">
      <alignment horizontal="center" vertical="center" wrapText="1"/>
      <protection hidden="1"/>
    </xf>
    <xf numFmtId="49" fontId="12" fillId="0" borderId="0" xfId="0" applyNumberFormat="1" applyFont="1" applyAlignment="1" applyProtection="1">
      <alignment horizontal="center" vertical="center" wrapText="1"/>
      <protection hidden="1"/>
    </xf>
    <xf numFmtId="49" fontId="12" fillId="0" borderId="38" xfId="0" applyNumberFormat="1" applyFont="1" applyBorder="1" applyAlignment="1" applyProtection="1">
      <alignment horizontal="center" vertical="center" wrapText="1"/>
      <protection hidden="1"/>
    </xf>
    <xf numFmtId="49" fontId="12" fillId="0" borderId="47" xfId="0" applyNumberFormat="1" applyFont="1" applyBorder="1" applyAlignment="1" applyProtection="1">
      <alignment horizontal="center" vertical="center" wrapText="1"/>
      <protection hidden="1"/>
    </xf>
    <xf numFmtId="49" fontId="12" fillId="0" borderId="29" xfId="0" applyNumberFormat="1" applyFont="1" applyBorder="1" applyAlignment="1" applyProtection="1">
      <alignment horizontal="center" vertical="center" wrapText="1"/>
      <protection hidden="1"/>
    </xf>
    <xf numFmtId="49" fontId="12" fillId="0" borderId="48" xfId="0" applyNumberFormat="1" applyFont="1" applyBorder="1" applyAlignment="1" applyProtection="1">
      <alignment horizontal="center" vertical="center" wrapText="1"/>
      <protection hidden="1"/>
    </xf>
    <xf numFmtId="0" fontId="0" fillId="17" borderId="31" xfId="0" applyFill="1" applyBorder="1" applyAlignment="1" applyProtection="1">
      <alignment horizontal="center" vertical="center"/>
      <protection hidden="1"/>
    </xf>
    <xf numFmtId="0" fontId="0" fillId="0" borderId="31" xfId="0" applyBorder="1" applyAlignment="1">
      <alignment horizontal="left"/>
    </xf>
    <xf numFmtId="0" fontId="70" fillId="20" borderId="0" xfId="0" applyFont="1" applyFill="1" applyAlignment="1" applyProtection="1">
      <alignment horizontal="center" vertical="center" textRotation="180"/>
      <protection hidden="1"/>
    </xf>
    <xf numFmtId="0" fontId="0" fillId="17" borderId="29" xfId="0" applyFill="1" applyBorder="1" applyAlignment="1" applyProtection="1">
      <alignment horizontal="center"/>
      <protection hidden="1"/>
    </xf>
    <xf numFmtId="0" fontId="33" fillId="10" borderId="61" xfId="1" applyFont="1" applyFill="1" applyBorder="1" applyAlignment="1" applyProtection="1">
      <alignment horizontal="center" vertical="center"/>
      <protection locked="0" hidden="1"/>
    </xf>
    <xf numFmtId="0" fontId="33" fillId="10" borderId="0" xfId="1" applyFont="1" applyFill="1" applyBorder="1" applyAlignment="1" applyProtection="1">
      <alignment horizontal="center" vertical="center"/>
      <protection locked="0" hidden="1"/>
    </xf>
    <xf numFmtId="1" fontId="13" fillId="0" borderId="0" xfId="0" applyNumberFormat="1" applyFont="1" applyAlignment="1" applyProtection="1">
      <alignment horizontal="left" vertical="top"/>
      <protection hidden="1"/>
    </xf>
    <xf numFmtId="0" fontId="100" fillId="0" borderId="0" xfId="0" applyFont="1" applyAlignment="1" applyProtection="1">
      <alignment horizontal="center" vertical="center" textRotation="90"/>
      <protection hidden="1"/>
    </xf>
    <xf numFmtId="0" fontId="9" fillId="17" borderId="0" xfId="0" applyFont="1" applyFill="1" applyAlignment="1" applyProtection="1">
      <alignment horizontal="left"/>
      <protection hidden="1"/>
    </xf>
    <xf numFmtId="0" fontId="0" fillId="0" borderId="80"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3" fillId="33" borderId="57" xfId="0" applyFont="1" applyFill="1" applyBorder="1" applyAlignment="1" applyProtection="1">
      <alignment horizontal="center"/>
      <protection hidden="1"/>
    </xf>
    <xf numFmtId="0" fontId="21" fillId="0" borderId="0" xfId="0" applyFont="1" applyAlignment="1" applyProtection="1">
      <alignment horizontal="center"/>
      <protection hidden="1"/>
    </xf>
    <xf numFmtId="0" fontId="21" fillId="0" borderId="0" xfId="0" applyFont="1" applyAlignment="1" applyProtection="1">
      <alignment horizontal="center" wrapText="1"/>
      <protection hidden="1"/>
    </xf>
  </cellXfs>
  <cellStyles count="22">
    <cellStyle name="Čárka" xfId="19" builtinId="3"/>
    <cellStyle name="Excel Built-in Normal" xfId="18" xr:uid="{23FA0CDA-DD58-4FC5-B696-068C3BF5CA8A}"/>
    <cellStyle name="Hypertextový odkaz" xfId="1" builtinId="8"/>
    <cellStyle name="Hypertextový odkaz 2" xfId="2" xr:uid="{72689374-BDE2-4D04-94B1-D83F1A41717D}"/>
    <cellStyle name="Měna" xfId="21" builtinId="4"/>
    <cellStyle name="Měna 2" xfId="3" xr:uid="{04803869-CABA-4954-9274-C3D63C26FE12}"/>
    <cellStyle name="Normální" xfId="0" builtinId="0"/>
    <cellStyle name="normální 10" xfId="4" xr:uid="{C12F5525-FCF1-418B-9419-1D98ADF09A4A}"/>
    <cellStyle name="normální 11" xfId="5" xr:uid="{62BD2A5E-E1E1-4B71-B837-5427E95C9E42}"/>
    <cellStyle name="normální 12" xfId="6" xr:uid="{4FD246D4-A57E-44F1-9864-45F09B3D2832}"/>
    <cellStyle name="Normální 13" xfId="7" xr:uid="{0FADEEB3-DF91-48ED-A187-B247A8023018}"/>
    <cellStyle name="Normální 13 2" xfId="8" xr:uid="{B34BA3FE-C4A4-459C-A812-9CFB55A0FE65}"/>
    <cellStyle name="normální 2" xfId="9" xr:uid="{4C107E5F-6539-4689-9C21-517655002373}"/>
    <cellStyle name="Normální 2 2" xfId="20" xr:uid="{D0DDCCA8-94A2-48FD-9418-11571545F30B}"/>
    <cellStyle name="normální 3" xfId="10" xr:uid="{07730DC6-8CBB-49C2-AC1A-72DDF8BD9409}"/>
    <cellStyle name="normální 4" xfId="11" xr:uid="{AE5DD1EE-93C0-42FB-A31E-353037E2FA64}"/>
    <cellStyle name="normální 5" xfId="12" xr:uid="{FD57E485-35D0-4D95-9BAF-1256DA48D81D}"/>
    <cellStyle name="normální 6" xfId="13" xr:uid="{31500C07-3F01-442E-B71B-1891A8D0E56B}"/>
    <cellStyle name="normální 7" xfId="14" xr:uid="{D74732A5-E202-4D2C-ACC5-D8F1F84AB2F4}"/>
    <cellStyle name="normální 8" xfId="15" xr:uid="{22B792F4-B021-4D30-B165-85A2302DABD4}"/>
    <cellStyle name="normální 9" xfId="16" xr:uid="{2DEB91A9-DF2D-40B1-B872-BB1B03059AAE}"/>
    <cellStyle name="Procenta" xfId="17" builtinId="5"/>
  </cellStyles>
  <dxfs count="50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ill>
        <patternFill>
          <bgColor rgb="FF92D050"/>
        </patternFill>
      </fill>
      <border>
        <vertical/>
        <horizontal/>
      </border>
    </dxf>
    <dxf>
      <fill>
        <patternFill patternType="none">
          <bgColor auto="1"/>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rgb="FF9C0006"/>
      </font>
      <fill>
        <patternFill>
          <bgColor rgb="FFFFC7CE"/>
        </patternFill>
      </fill>
    </dxf>
    <dxf>
      <fill>
        <patternFill>
          <bgColor theme="6" tint="0.59996337778862885"/>
        </patternFill>
      </fill>
    </dxf>
    <dxf>
      <font>
        <b/>
        <i val="0"/>
        <color rgb="FFFFFF00"/>
      </font>
      <fill>
        <patternFill>
          <bgColor rgb="FFFF0000"/>
        </patternFill>
      </fill>
    </dxf>
    <dxf>
      <font>
        <color theme="0" tint="-0.499984740745262"/>
      </font>
    </dxf>
    <dxf>
      <font>
        <b/>
        <i val="0"/>
        <color rgb="FFFFFF00"/>
      </font>
      <fill>
        <patternFill>
          <bgColor rgb="FFFF0000"/>
        </patternFill>
      </fill>
    </dxf>
    <dxf>
      <font>
        <color theme="0" tint="-0.24994659260841701"/>
      </font>
    </dxf>
    <dxf>
      <fill>
        <patternFill>
          <bgColor theme="3" tint="0.39994506668294322"/>
        </patternFill>
      </fill>
    </dxf>
    <dxf>
      <font>
        <color theme="0" tint="-0.14996795556505021"/>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color theme="1"/>
      </font>
      <fill>
        <patternFill>
          <bgColor rgb="FFFFFF00"/>
        </patternFill>
      </fill>
    </dxf>
    <dxf>
      <font>
        <color theme="0"/>
      </font>
    </dxf>
    <dxf>
      <font>
        <color theme="0"/>
      </font>
    </dxf>
    <dxf>
      <font>
        <color theme="0"/>
      </font>
    </dxf>
    <dxf>
      <font>
        <color theme="0"/>
      </font>
    </dxf>
    <dxf>
      <font>
        <color theme="0"/>
      </font>
    </dxf>
    <dxf>
      <font>
        <color theme="0"/>
      </font>
    </dxf>
    <dxf>
      <font>
        <color theme="1"/>
      </font>
      <fill>
        <patternFill>
          <bgColor rgb="FFFFFF00"/>
        </patternFill>
      </fill>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auto="1"/>
      </font>
      <fill>
        <patternFill>
          <bgColor rgb="FF92D050"/>
        </patternFill>
      </fill>
    </dxf>
    <dxf>
      <font>
        <color auto="1"/>
      </font>
      <fill>
        <patternFill>
          <bgColor rgb="FF92D050"/>
        </patternFill>
      </fill>
    </dxf>
    <dxf>
      <font>
        <color rgb="FF009EE0"/>
      </font>
    </dxf>
    <dxf>
      <font>
        <color rgb="FF009EE0"/>
      </font>
    </dxf>
    <dxf>
      <font>
        <color rgb="FF009EE0"/>
      </font>
    </dxf>
    <dxf>
      <font>
        <color rgb="FF009EE0"/>
      </font>
    </dxf>
    <dxf>
      <font>
        <color rgb="FF009EE0"/>
      </font>
    </dxf>
    <dxf>
      <font>
        <color rgb="FF009EE0"/>
      </font>
    </dxf>
    <dxf>
      <font>
        <color rgb="FF009EE0"/>
      </font>
    </dxf>
    <dxf>
      <font>
        <color rgb="FF009EE0"/>
      </font>
    </dxf>
    <dxf>
      <font>
        <b/>
        <i val="0"/>
        <strike val="0"/>
        <color rgb="FFFF0000"/>
      </font>
    </dxf>
    <dxf>
      <font>
        <color rgb="FF009EE0"/>
      </font>
    </dxf>
    <dxf>
      <fill>
        <patternFill>
          <bgColor rgb="FF00B0F0"/>
        </patternFill>
      </fill>
    </dxf>
    <dxf>
      <fill>
        <patternFill>
          <bgColor rgb="FF00B0F0"/>
        </patternFill>
      </fill>
    </dxf>
    <dxf>
      <fill>
        <patternFill>
          <bgColor theme="0" tint="-0.14996795556505021"/>
        </patternFill>
      </fill>
      <border>
        <bottom style="dashed">
          <color auto="1"/>
        </bottom>
      </border>
    </dxf>
    <dxf>
      <font>
        <color theme="1"/>
      </font>
      <fill>
        <patternFill>
          <bgColor rgb="FFFFFF00"/>
        </patternFill>
      </fill>
    </dxf>
    <dxf>
      <fill>
        <patternFill>
          <bgColor theme="3"/>
        </patternFill>
      </fill>
    </dxf>
    <dxf>
      <fill>
        <patternFill>
          <bgColor rgb="FF00B0F0"/>
        </patternFill>
      </fill>
    </dxf>
    <dxf>
      <fill>
        <patternFill>
          <bgColor rgb="FF00B0F0"/>
        </patternFill>
      </fill>
    </dxf>
    <dxf>
      <fill>
        <patternFill>
          <bgColor rgb="FF00B0F0"/>
        </patternFill>
      </fill>
    </dxf>
    <dxf>
      <fill>
        <patternFill>
          <bgColor rgb="FF009EE0"/>
        </patternFill>
      </fill>
    </dxf>
    <dxf>
      <fill>
        <patternFill>
          <bgColor theme="2"/>
        </patternFill>
      </fill>
    </dxf>
    <dxf>
      <fill>
        <patternFill>
          <bgColor theme="2"/>
        </patternFill>
      </fill>
    </dxf>
    <dxf>
      <fill>
        <patternFill>
          <bgColor theme="3"/>
        </patternFill>
      </fill>
    </dxf>
    <dxf>
      <fill>
        <patternFill>
          <bgColor rgb="FF004984"/>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indexed="20"/>
      </font>
      <fill>
        <patternFill>
          <bgColor indexed="45"/>
        </patternFill>
      </fill>
    </dxf>
    <dxf>
      <font>
        <color indexed="17"/>
      </font>
      <fill>
        <patternFill>
          <bgColor indexed="42"/>
        </patternFill>
      </fill>
    </dxf>
    <dxf>
      <font>
        <color indexed="17"/>
      </font>
      <fill>
        <patternFill>
          <bgColor indexed="42"/>
        </patternFill>
      </fill>
    </dxf>
    <dxf>
      <fill>
        <patternFill>
          <fgColor theme="0"/>
          <bgColor theme="0"/>
        </patternFill>
      </fill>
    </dxf>
    <dxf>
      <fill>
        <patternFill>
          <bgColor rgb="FFFFFF0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ill>
        <patternFill>
          <bgColor rgb="FF009EE0"/>
        </patternFill>
      </fill>
    </dxf>
    <dxf>
      <fill>
        <patternFill>
          <bgColor theme="0" tint="-0.14996795556505021"/>
        </patternFill>
      </fill>
    </dxf>
    <dxf>
      <fill>
        <patternFill>
          <bgColor rgb="FF00B0F0"/>
        </patternFill>
      </fill>
    </dxf>
    <dxf>
      <fill>
        <patternFill>
          <bgColor rgb="FF00B0F0"/>
        </patternFill>
      </fill>
    </dxf>
    <dxf>
      <font>
        <color theme="0"/>
      </font>
      <fill>
        <patternFill>
          <bgColor rgb="FF009EE0"/>
        </patternFill>
      </fill>
    </dxf>
    <dxf>
      <fill>
        <patternFill>
          <bgColor theme="2"/>
        </patternFill>
      </fill>
    </dxf>
    <dxf>
      <fill>
        <patternFill>
          <bgColor theme="2"/>
        </patternFill>
      </fill>
    </dxf>
    <dxf>
      <font>
        <color theme="0"/>
      </font>
      <fill>
        <patternFill>
          <bgColor theme="0"/>
        </patternFill>
      </fill>
      <border>
        <bottom/>
      </border>
    </dxf>
    <dxf>
      <fill>
        <patternFill>
          <bgColor theme="3"/>
        </patternFill>
      </fill>
    </dxf>
    <dxf>
      <fill>
        <patternFill>
          <bgColor theme="3"/>
        </patternFill>
      </fill>
    </dxf>
    <dxf>
      <fill>
        <patternFill>
          <bgColor rgb="FF004984"/>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ont>
        <color theme="1"/>
      </font>
      <fill>
        <patternFill>
          <bgColor rgb="FFFFFF00"/>
        </patternFill>
      </fill>
    </dxf>
    <dxf>
      <font>
        <color theme="1"/>
      </font>
      <fill>
        <patternFill patternType="none">
          <bgColor auto="1"/>
        </patternFill>
      </fill>
    </dxf>
    <dxf>
      <fill>
        <patternFill>
          <fgColor auto="1"/>
          <bgColor rgb="FF00B0F0"/>
        </patternFill>
      </fill>
    </dxf>
    <dxf>
      <fill>
        <patternFill>
          <fgColor auto="1"/>
          <bgColor rgb="FF00B0F0"/>
        </patternFill>
      </fill>
    </dxf>
    <dxf>
      <fill>
        <patternFill>
          <fgColor auto="1"/>
          <bgColor rgb="FF00B0F0"/>
        </patternFill>
      </fill>
    </dxf>
    <dxf>
      <font>
        <strike val="0"/>
        <u val="none"/>
        <color theme="0"/>
      </font>
      <fill>
        <patternFill patternType="solid">
          <fgColor auto="1"/>
          <bgColor rgb="FF00B050"/>
        </patternFill>
      </fill>
      <border>
        <left/>
        <right/>
        <top/>
        <bottom/>
      </border>
    </dxf>
    <dxf>
      <font>
        <color theme="1"/>
      </font>
      <fill>
        <patternFill>
          <bgColor rgb="FFFFFF00"/>
        </patternFill>
      </fill>
    </dxf>
    <dxf>
      <fill>
        <patternFill>
          <fgColor auto="1"/>
          <bgColor rgb="FF00B0F0"/>
        </patternFill>
      </fill>
    </dxf>
    <dxf>
      <font>
        <strike val="0"/>
        <u val="none"/>
        <color theme="0"/>
      </font>
      <fill>
        <patternFill patternType="solid">
          <fgColor auto="1"/>
          <bgColor rgb="FF004984"/>
        </patternFill>
      </fill>
      <border>
        <left/>
        <right/>
        <top/>
        <bottom/>
      </border>
    </dxf>
    <dxf>
      <fill>
        <patternFill>
          <fgColor auto="1"/>
          <bgColor rgb="FF004984"/>
        </patternFill>
      </fill>
    </dxf>
  </dxfs>
  <tableStyles count="0" defaultTableStyle="TableStyleMedium9" defaultPivotStyle="PivotStyleLight16"/>
  <colors>
    <mruColors>
      <color rgb="FFB7DEE8"/>
      <color rgb="FF009EE0"/>
      <color rgb="FF004984"/>
      <color rgb="FF4F8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REF!"/>
</file>

<file path=xl/ctrlProps/ctrlProp2.xml><?xml version="1.0" encoding="utf-8"?>
<formControlPr xmlns="http://schemas.microsoft.com/office/spreadsheetml/2009/9/main" objectType="CheckBox" fmlaLink="#REF!"/>
</file>

<file path=xl/ctrlProps/ctrlProp3.xml><?xml version="1.0" encoding="utf-8"?>
<formControlPr xmlns="http://schemas.microsoft.com/office/spreadsheetml/2009/9/main" objectType="CheckBox" fmlaLink="Potvrzení!$W$2" lockText="1"/>
</file>

<file path=xl/ctrlProps/ctrlProp4.xml><?xml version="1.0" encoding="utf-8"?>
<formControlPr xmlns="http://schemas.microsoft.com/office/spreadsheetml/2009/9/main" objectType="CheckBox" fmlaLink="kombinace_1!$H$1" lockText="1"/>
</file>

<file path=xl/ctrlProps/ctrlProp5.xml><?xml version="1.0" encoding="utf-8"?>
<formControlPr xmlns="http://schemas.microsoft.com/office/spreadsheetml/2009/9/main" objectType="CheckBox" fmlaLink="kombinace_1!$FC$2" lockText="1"/>
</file>

<file path=xl/ctrlProps/ctrlProp6.xml><?xml version="1.0" encoding="utf-8"?>
<formControlPr xmlns="http://schemas.microsoft.com/office/spreadsheetml/2009/9/main" objectType="CheckBox" fmlaLink="kombinace_2!$H$1" lockText="1"/>
</file>

<file path=xl/ctrlProps/ctrlProp7.xml><?xml version="1.0" encoding="utf-8"?>
<formControlPr xmlns="http://schemas.microsoft.com/office/spreadsheetml/2009/9/main" objectType="CheckBox" fmlaLink="kombinace_2!$FC$2" lockText="1"/>
</file>

<file path=xl/ctrlProps/ctrlProp8.xml><?xml version="1.0" encoding="utf-8"?>
<formControlPr xmlns="http://schemas.microsoft.com/office/spreadsheetml/2009/9/main" objectType="CheckBox" fmlaLink="kombinace_3!$FC$2" lockText="1"/>
</file>

<file path=xl/ctrlProps/ctrlProp9.xml><?xml version="1.0" encoding="utf-8"?>
<formControlPr xmlns="http://schemas.microsoft.com/office/spreadsheetml/2009/9/main" objectType="CheckBox" fmlaLink="kombinace_3!$H$1" lockText="1"/>
</file>

<file path=xl/ctrlProps/ctrlProp10.xml><?xml version="1.0" encoding="utf-8"?>
<formControlPr xmlns="http://schemas.microsoft.com/office/spreadsheetml/2009/9/main" objectType="CheckBox" fmlaLink="kombinace_4!$H$1" lockText="1"/>
</file>

<file path=xl/ctrlProps/ctrlProp11.xml><?xml version="1.0" encoding="utf-8"?>
<formControlPr xmlns="http://schemas.microsoft.com/office/spreadsheetml/2009/9/main" objectType="CheckBox" fmlaLink="kombinace_4!$FC$2" lockText="1"/>
</file>

<file path=xl/ctrlProps/ctrlProp12.xml><?xml version="1.0" encoding="utf-8"?>
<formControlPr xmlns="http://schemas.microsoft.com/office/spreadsheetml/2009/9/main" objectType="CheckBox" fmlaLink="kombinace_5!$H$1" lockText="1"/>
</file>

<file path=xl/ctrlProps/ctrlProp13.xml><?xml version="1.0" encoding="utf-8"?>
<formControlPr xmlns="http://schemas.microsoft.com/office/spreadsheetml/2009/9/main" objectType="CheckBox" fmlaLink="kombinace_5!$FC$2" lockText="1"/>
</file>

<file path=xl/ctrlProps/ctrlProp14.xml><?xml version="1.0" encoding="utf-8"?>
<formControlPr xmlns="http://schemas.microsoft.com/office/spreadsheetml/2009/9/main" objectType="CheckBox" fmlaLink="kombinace_6!$H$1" lockText="1"/>
</file>

<file path=xl/ctrlProps/ctrlProp15.xml><?xml version="1.0" encoding="utf-8"?>
<formControlPr xmlns="http://schemas.microsoft.com/office/spreadsheetml/2009/9/main" objectType="CheckBox" fmlaLink="kombinace_6!$FC$2" lockText="1"/>
</file>

<file path=xl/ctrlProps/ctrlProp16.xml><?xml version="1.0" encoding="utf-8"?>
<formControlPr xmlns="http://schemas.microsoft.com/office/spreadsheetml/2009/9/main" objectType="CheckBox" fmlaLink="$AQ$13" lockText="1"/>
</file>

<file path=xl/ctrlProps/ctrlProp17.xml><?xml version="1.0" encoding="utf-8"?>
<formControlPr xmlns="http://schemas.microsoft.com/office/spreadsheetml/2009/9/main" objectType="CheckBox" fmlaLink="#REF!" lockText="1"/>
</file>

<file path=xl/ctrlProps/ctrlProp18.xml><?xml version="1.0" encoding="utf-8"?>
<formControlPr xmlns="http://schemas.microsoft.com/office/spreadsheetml/2009/9/main" objectType="CheckBox" fmlaLink="#REF!"/>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Posuv!A1"/><Relationship Id="rId7" Type="http://schemas.openxmlformats.org/officeDocument/2006/relationships/hyperlink" Target="#Sklo!A1"/><Relationship Id="rId2" Type="http://schemas.openxmlformats.org/officeDocument/2006/relationships/image" Target="../media/image1.png"/><Relationship Id="rId1" Type="http://schemas.openxmlformats.org/officeDocument/2006/relationships/hyperlink" Target="#Barevnice!A1"/><Relationship Id="rId6" Type="http://schemas.openxmlformats.org/officeDocument/2006/relationships/hyperlink" Target="#Zakaznik!A1"/><Relationship Id="rId5" Type="http://schemas.openxmlformats.org/officeDocument/2006/relationships/hyperlink" Target="#'Typy profil&#367;'!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png"/><Relationship Id="rId18" Type="http://schemas.openxmlformats.org/officeDocument/2006/relationships/image" Target="../media/image25.png"/><Relationship Id="rId3" Type="http://schemas.openxmlformats.org/officeDocument/2006/relationships/image" Target="../media/image11.jpeg"/><Relationship Id="rId21" Type="http://schemas.openxmlformats.org/officeDocument/2006/relationships/image" Target="../media/image28.jpeg"/><Relationship Id="rId7" Type="http://schemas.openxmlformats.org/officeDocument/2006/relationships/image" Target="../media/image15.jpeg"/><Relationship Id="rId12" Type="http://schemas.openxmlformats.org/officeDocument/2006/relationships/image" Target="../media/image20.png"/><Relationship Id="rId17" Type="http://schemas.openxmlformats.org/officeDocument/2006/relationships/image" Target="../media/image24.jpg"/><Relationship Id="rId2" Type="http://schemas.openxmlformats.org/officeDocument/2006/relationships/image" Target="../media/image10.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png"/><Relationship Id="rId5" Type="http://schemas.openxmlformats.org/officeDocument/2006/relationships/image" Target="../media/image13.jpeg"/><Relationship Id="rId15" Type="http://schemas.openxmlformats.org/officeDocument/2006/relationships/image" Target="../media/image22.png"/><Relationship Id="rId10" Type="http://schemas.openxmlformats.org/officeDocument/2006/relationships/image" Target="../media/image18.jpeg"/><Relationship Id="rId19" Type="http://schemas.openxmlformats.org/officeDocument/2006/relationships/image" Target="../media/image26.pn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3.png"/><Relationship Id="rId22"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46.emf"/><Relationship Id="rId3" Type="http://schemas.openxmlformats.org/officeDocument/2006/relationships/image" Target="../media/image32.emf"/><Relationship Id="rId21" Type="http://schemas.openxmlformats.org/officeDocument/2006/relationships/image" Target="../media/image49.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45.emf"/><Relationship Id="rId2" Type="http://schemas.openxmlformats.org/officeDocument/2006/relationships/image" Target="../media/image31.emf"/><Relationship Id="rId16" Type="http://schemas.openxmlformats.org/officeDocument/2006/relationships/image" Target="../media/image3.png"/><Relationship Id="rId20" Type="http://schemas.openxmlformats.org/officeDocument/2006/relationships/image" Target="../media/image48.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5" Type="http://schemas.openxmlformats.org/officeDocument/2006/relationships/image" Target="../media/image34.emf"/><Relationship Id="rId15" Type="http://schemas.openxmlformats.org/officeDocument/2006/relationships/image" Target="../media/image44.emf"/><Relationship Id="rId10" Type="http://schemas.openxmlformats.org/officeDocument/2006/relationships/image" Target="../media/image39.emf"/><Relationship Id="rId19" Type="http://schemas.openxmlformats.org/officeDocument/2006/relationships/image" Target="../media/image47.emf"/><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 Id="rId22" Type="http://schemas.openxmlformats.org/officeDocument/2006/relationships/image" Target="../media/image50.emf"/></Relationships>
</file>

<file path=xl/drawings/_rels/drawing16.xml.rels><?xml version="1.0" encoding="UTF-8" standalone="yes"?>
<Relationships xmlns="http://schemas.openxmlformats.org/package/2006/relationships"><Relationship Id="rId13" Type="http://schemas.openxmlformats.org/officeDocument/2006/relationships/image" Target="../media/image84.jpeg"/><Relationship Id="rId18" Type="http://schemas.openxmlformats.org/officeDocument/2006/relationships/image" Target="../media/image89.jpeg"/><Relationship Id="rId26" Type="http://schemas.openxmlformats.org/officeDocument/2006/relationships/image" Target="../media/image97.jpeg"/><Relationship Id="rId21" Type="http://schemas.openxmlformats.org/officeDocument/2006/relationships/image" Target="../media/image92.jpeg"/><Relationship Id="rId34" Type="http://schemas.openxmlformats.org/officeDocument/2006/relationships/image" Target="../media/image5.png"/><Relationship Id="rId7" Type="http://schemas.openxmlformats.org/officeDocument/2006/relationships/image" Target="../media/image78.jpeg"/><Relationship Id="rId12" Type="http://schemas.openxmlformats.org/officeDocument/2006/relationships/image" Target="../media/image83.jpeg"/><Relationship Id="rId17" Type="http://schemas.openxmlformats.org/officeDocument/2006/relationships/image" Target="../media/image88.jpeg"/><Relationship Id="rId25" Type="http://schemas.openxmlformats.org/officeDocument/2006/relationships/image" Target="../media/image96.jpeg"/><Relationship Id="rId33" Type="http://schemas.openxmlformats.org/officeDocument/2006/relationships/image" Target="../media/image104.jpeg"/><Relationship Id="rId38" Type="http://schemas.openxmlformats.org/officeDocument/2006/relationships/image" Target="../media/image108.png"/><Relationship Id="rId2" Type="http://schemas.openxmlformats.org/officeDocument/2006/relationships/image" Target="../media/image73.jpeg"/><Relationship Id="rId16" Type="http://schemas.openxmlformats.org/officeDocument/2006/relationships/image" Target="../media/image87.jpeg"/><Relationship Id="rId20" Type="http://schemas.openxmlformats.org/officeDocument/2006/relationships/image" Target="../media/image91.jpeg"/><Relationship Id="rId29" Type="http://schemas.openxmlformats.org/officeDocument/2006/relationships/image" Target="../media/image100.jpeg"/><Relationship Id="rId1" Type="http://schemas.openxmlformats.org/officeDocument/2006/relationships/image" Target="../media/image72.jpeg"/><Relationship Id="rId6" Type="http://schemas.openxmlformats.org/officeDocument/2006/relationships/image" Target="../media/image77.jpeg"/><Relationship Id="rId11" Type="http://schemas.openxmlformats.org/officeDocument/2006/relationships/image" Target="../media/image82.jpeg"/><Relationship Id="rId24" Type="http://schemas.openxmlformats.org/officeDocument/2006/relationships/image" Target="../media/image95.jpeg"/><Relationship Id="rId32" Type="http://schemas.openxmlformats.org/officeDocument/2006/relationships/image" Target="../media/image103.jpeg"/><Relationship Id="rId37" Type="http://schemas.openxmlformats.org/officeDocument/2006/relationships/image" Target="../media/image107.jpeg"/><Relationship Id="rId5" Type="http://schemas.openxmlformats.org/officeDocument/2006/relationships/image" Target="../media/image76.jpeg"/><Relationship Id="rId15" Type="http://schemas.openxmlformats.org/officeDocument/2006/relationships/image" Target="../media/image86.jpeg"/><Relationship Id="rId23" Type="http://schemas.openxmlformats.org/officeDocument/2006/relationships/image" Target="../media/image94.jpeg"/><Relationship Id="rId28" Type="http://schemas.openxmlformats.org/officeDocument/2006/relationships/image" Target="../media/image99.jpeg"/><Relationship Id="rId36" Type="http://schemas.openxmlformats.org/officeDocument/2006/relationships/image" Target="../media/image106.jpeg"/><Relationship Id="rId10" Type="http://schemas.openxmlformats.org/officeDocument/2006/relationships/image" Target="../media/image81.jpeg"/><Relationship Id="rId19" Type="http://schemas.openxmlformats.org/officeDocument/2006/relationships/image" Target="../media/image90.jpeg"/><Relationship Id="rId31" Type="http://schemas.openxmlformats.org/officeDocument/2006/relationships/image" Target="../media/image102.jpeg"/><Relationship Id="rId4" Type="http://schemas.openxmlformats.org/officeDocument/2006/relationships/image" Target="../media/image75.jpeg"/><Relationship Id="rId9" Type="http://schemas.openxmlformats.org/officeDocument/2006/relationships/image" Target="../media/image80.jpeg"/><Relationship Id="rId14" Type="http://schemas.openxmlformats.org/officeDocument/2006/relationships/image" Target="../media/image85.jpeg"/><Relationship Id="rId22" Type="http://schemas.openxmlformats.org/officeDocument/2006/relationships/image" Target="../media/image93.jpeg"/><Relationship Id="rId27" Type="http://schemas.openxmlformats.org/officeDocument/2006/relationships/image" Target="../media/image98.jpeg"/><Relationship Id="rId30" Type="http://schemas.openxmlformats.org/officeDocument/2006/relationships/image" Target="../media/image101.jpeg"/><Relationship Id="rId35" Type="http://schemas.openxmlformats.org/officeDocument/2006/relationships/image" Target="../media/image105.jpeg"/><Relationship Id="rId8" Type="http://schemas.openxmlformats.org/officeDocument/2006/relationships/image" Target="../media/image79.jpeg"/><Relationship Id="rId3" Type="http://schemas.openxmlformats.org/officeDocument/2006/relationships/image" Target="../media/image74.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116.emf"/><Relationship Id="rId3" Type="http://schemas.openxmlformats.org/officeDocument/2006/relationships/image" Target="../media/image111.emf"/><Relationship Id="rId7" Type="http://schemas.openxmlformats.org/officeDocument/2006/relationships/image" Target="../media/image115.emf"/><Relationship Id="rId2" Type="http://schemas.openxmlformats.org/officeDocument/2006/relationships/image" Target="../media/image110.emf"/><Relationship Id="rId1" Type="http://schemas.openxmlformats.org/officeDocument/2006/relationships/image" Target="../media/image109.emf"/><Relationship Id="rId6" Type="http://schemas.openxmlformats.org/officeDocument/2006/relationships/image" Target="../media/image114.emf"/><Relationship Id="rId5" Type="http://schemas.openxmlformats.org/officeDocument/2006/relationships/image" Target="../media/image113.emf"/><Relationship Id="rId4" Type="http://schemas.openxmlformats.org/officeDocument/2006/relationships/image" Target="../media/image112.emf"/><Relationship Id="rId9" Type="http://schemas.openxmlformats.org/officeDocument/2006/relationships/image" Target="../media/image117.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3.vml.rels><?xml version="1.0" encoding="UTF-8" standalone="yes"?>
<Relationships xmlns="http://schemas.openxmlformats.org/package/2006/relationships"><Relationship Id="rId8" Type="http://schemas.openxmlformats.org/officeDocument/2006/relationships/image" Target="../media/image58.emf"/><Relationship Id="rId13" Type="http://schemas.openxmlformats.org/officeDocument/2006/relationships/image" Target="../media/image63.emf"/><Relationship Id="rId18" Type="http://schemas.openxmlformats.org/officeDocument/2006/relationships/image" Target="../media/image68.emf"/><Relationship Id="rId3" Type="http://schemas.openxmlformats.org/officeDocument/2006/relationships/image" Target="../media/image53.emf"/><Relationship Id="rId21" Type="http://schemas.openxmlformats.org/officeDocument/2006/relationships/image" Target="../media/image71.emf"/><Relationship Id="rId7" Type="http://schemas.openxmlformats.org/officeDocument/2006/relationships/image" Target="../media/image57.emf"/><Relationship Id="rId12" Type="http://schemas.openxmlformats.org/officeDocument/2006/relationships/image" Target="../media/image62.emf"/><Relationship Id="rId17" Type="http://schemas.openxmlformats.org/officeDocument/2006/relationships/image" Target="../media/image67.emf"/><Relationship Id="rId2" Type="http://schemas.openxmlformats.org/officeDocument/2006/relationships/image" Target="../media/image52.emf"/><Relationship Id="rId16" Type="http://schemas.openxmlformats.org/officeDocument/2006/relationships/image" Target="../media/image66.emf"/><Relationship Id="rId20" Type="http://schemas.openxmlformats.org/officeDocument/2006/relationships/image" Target="../media/image70.emf"/><Relationship Id="rId1" Type="http://schemas.openxmlformats.org/officeDocument/2006/relationships/image" Target="../media/image51.emf"/><Relationship Id="rId6" Type="http://schemas.openxmlformats.org/officeDocument/2006/relationships/image" Target="../media/image56.emf"/><Relationship Id="rId11" Type="http://schemas.openxmlformats.org/officeDocument/2006/relationships/image" Target="../media/image61.emf"/><Relationship Id="rId5" Type="http://schemas.openxmlformats.org/officeDocument/2006/relationships/image" Target="../media/image55.emf"/><Relationship Id="rId15" Type="http://schemas.openxmlformats.org/officeDocument/2006/relationships/image" Target="../media/image65.emf"/><Relationship Id="rId10" Type="http://schemas.openxmlformats.org/officeDocument/2006/relationships/image" Target="../media/image60.emf"/><Relationship Id="rId19" Type="http://schemas.openxmlformats.org/officeDocument/2006/relationships/image" Target="../media/image69.emf"/><Relationship Id="rId4" Type="http://schemas.openxmlformats.org/officeDocument/2006/relationships/image" Target="../media/image54.emf"/><Relationship Id="rId9" Type="http://schemas.openxmlformats.org/officeDocument/2006/relationships/image" Target="../media/image59.emf"/><Relationship Id="rId14" Type="http://schemas.openxmlformats.org/officeDocument/2006/relationships/image" Target="../media/image64.emf"/></Relationships>
</file>

<file path=xl/drawings/_rels/vmlDrawing14.vml.rels><?xml version="1.0" encoding="UTF-8" standalone="yes"?>
<Relationships xmlns="http://schemas.openxmlformats.org/package/2006/relationships"><Relationship Id="rId8" Type="http://schemas.openxmlformats.org/officeDocument/2006/relationships/image" Target="../media/image125.emf"/><Relationship Id="rId3" Type="http://schemas.openxmlformats.org/officeDocument/2006/relationships/image" Target="../media/image120.emf"/><Relationship Id="rId7" Type="http://schemas.openxmlformats.org/officeDocument/2006/relationships/image" Target="../media/image124.emf"/><Relationship Id="rId2" Type="http://schemas.openxmlformats.org/officeDocument/2006/relationships/image" Target="../media/image119.emf"/><Relationship Id="rId1" Type="http://schemas.openxmlformats.org/officeDocument/2006/relationships/image" Target="../media/image118.emf"/><Relationship Id="rId6" Type="http://schemas.openxmlformats.org/officeDocument/2006/relationships/image" Target="../media/image123.emf"/><Relationship Id="rId5" Type="http://schemas.openxmlformats.org/officeDocument/2006/relationships/image" Target="../media/image122.emf"/><Relationship Id="rId4" Type="http://schemas.openxmlformats.org/officeDocument/2006/relationships/image" Target="../media/image121.emf"/><Relationship Id="rId9" Type="http://schemas.openxmlformats.org/officeDocument/2006/relationships/image" Target="../media/image126.emf"/></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23</xdr:row>
      <xdr:rowOff>28575</xdr:rowOff>
    </xdr:from>
    <xdr:to>
      <xdr:col>7</xdr:col>
      <xdr:colOff>15240</xdr:colOff>
      <xdr:row>36</xdr:row>
      <xdr:rowOff>15240</xdr:rowOff>
    </xdr:to>
    <xdr:pic>
      <xdr:nvPicPr>
        <xdr:cNvPr id="942180" name="Obrázek 2">
          <a:hlinkClick xmlns:r="http://schemas.openxmlformats.org/officeDocument/2006/relationships" r:id="rId1"/>
          <a:extLst>
            <a:ext uri="{FF2B5EF4-FFF2-40B4-BE49-F238E27FC236}">
              <a16:creationId xmlns:a16="http://schemas.microsoft.com/office/drawing/2014/main" id="{9CF29745-35DE-495A-E6E8-CADACF2D16B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37719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371474</xdr:colOff>
      <xdr:row>10</xdr:row>
      <xdr:rowOff>125730</xdr:rowOff>
    </xdr:from>
    <xdr:to>
      <xdr:col>21</xdr:col>
      <xdr:colOff>51434</xdr:colOff>
      <xdr:row>22</xdr:row>
      <xdr:rowOff>53340</xdr:rowOff>
    </xdr:to>
    <xdr:pic>
      <xdr:nvPicPr>
        <xdr:cNvPr id="942181" name="Obrázek 3">
          <a:hlinkClick xmlns:r="http://schemas.openxmlformats.org/officeDocument/2006/relationships" r:id="rId3"/>
          <a:extLst>
            <a:ext uri="{FF2B5EF4-FFF2-40B4-BE49-F238E27FC236}">
              <a16:creationId xmlns:a16="http://schemas.microsoft.com/office/drawing/2014/main" id="{217E391E-F649-1F8F-A94F-BC5FC2237889}"/>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10224" y="1716405"/>
          <a:ext cx="23336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369570</xdr:colOff>
      <xdr:row>23</xdr:row>
      <xdr:rowOff>26670</xdr:rowOff>
    </xdr:from>
    <xdr:to>
      <xdr:col>21</xdr:col>
      <xdr:colOff>53450</xdr:colOff>
      <xdr:row>36</xdr:row>
      <xdr:rowOff>19050</xdr:rowOff>
    </xdr:to>
    <xdr:pic>
      <xdr:nvPicPr>
        <xdr:cNvPr id="942182" name="Obrázek 14">
          <a:hlinkClick xmlns:r="http://schemas.openxmlformats.org/officeDocument/2006/relationships" r:id="rId5"/>
          <a:extLst>
            <a:ext uri="{FF2B5EF4-FFF2-40B4-BE49-F238E27FC236}">
              <a16:creationId xmlns:a16="http://schemas.microsoft.com/office/drawing/2014/main" id="{79C612B0-3B89-9CD8-8F2A-908E7A49973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08320" y="3779520"/>
          <a:ext cx="2335640" cy="197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10</xdr:row>
      <xdr:rowOff>161925</xdr:rowOff>
    </xdr:from>
    <xdr:to>
      <xdr:col>7</xdr:col>
      <xdr:colOff>15240</xdr:colOff>
      <xdr:row>23</xdr:row>
      <xdr:rowOff>0</xdr:rowOff>
    </xdr:to>
    <xdr:pic>
      <xdr:nvPicPr>
        <xdr:cNvPr id="942183" name="Obrázek 15">
          <a:hlinkClick xmlns:r="http://schemas.openxmlformats.org/officeDocument/2006/relationships" r:id="rId6"/>
          <a:extLst>
            <a:ext uri="{FF2B5EF4-FFF2-40B4-BE49-F238E27FC236}">
              <a16:creationId xmlns:a16="http://schemas.microsoft.com/office/drawing/2014/main" id="{16B3250C-5767-3149-51CD-8272AC3C9534}"/>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17526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457200</xdr:colOff>
      <xdr:row>15</xdr:row>
      <xdr:rowOff>123825</xdr:rowOff>
    </xdr:from>
    <xdr:to>
      <xdr:col>15</xdr:col>
      <xdr:colOff>76200</xdr:colOff>
      <xdr:row>29</xdr:row>
      <xdr:rowOff>0</xdr:rowOff>
    </xdr:to>
    <xdr:pic>
      <xdr:nvPicPr>
        <xdr:cNvPr id="942184" name="Obrázek 16">
          <a:hlinkClick xmlns:r="http://schemas.openxmlformats.org/officeDocument/2006/relationships" r:id="rId7"/>
          <a:extLst>
            <a:ext uri="{FF2B5EF4-FFF2-40B4-BE49-F238E27FC236}">
              <a16:creationId xmlns:a16="http://schemas.microsoft.com/office/drawing/2014/main" id="{27C1AFF2-4E0E-61BE-8EE0-7A90301FE2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00375" y="2724150"/>
          <a:ext cx="21717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0</xdr:row>
      <xdr:rowOff>83820</xdr:rowOff>
    </xdr:from>
    <xdr:to>
      <xdr:col>6</xdr:col>
      <xdr:colOff>177354</xdr:colOff>
      <xdr:row>3</xdr:row>
      <xdr:rowOff>101005</xdr:rowOff>
    </xdr:to>
    <xdr:pic>
      <xdr:nvPicPr>
        <xdr:cNvPr id="5" name="Obrázek 4">
          <a:extLst>
            <a:ext uri="{FF2B5EF4-FFF2-40B4-BE49-F238E27FC236}">
              <a16:creationId xmlns:a16="http://schemas.microsoft.com/office/drawing/2014/main" id="{79A60297-E063-2446-4224-9B09AA50FD40}"/>
            </a:ext>
          </a:extLst>
        </xdr:cNvPr>
        <xdr:cNvPicPr>
          <a:picLocks noChangeAspect="1"/>
        </xdr:cNvPicPr>
      </xdr:nvPicPr>
      <xdr:blipFill>
        <a:blip xmlns:r="http://schemas.openxmlformats.org/officeDocument/2006/relationships" r:embed="rId8"/>
        <a:stretch>
          <a:fillRect/>
        </a:stretch>
      </xdr:blipFill>
      <xdr:spPr>
        <a:xfrm>
          <a:off x="266700" y="83820"/>
          <a:ext cx="2179509"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0</xdr:row>
          <xdr:rowOff>209550</xdr:rowOff>
        </xdr:to>
        <xdr:sp macro="" textlink="">
          <xdr:nvSpPr>
            <xdr:cNvPr id="216065" name="Check Box 1967" hidden="1">
              <a:extLst>
                <a:ext uri="{63B3BB69-23CF-44E3-9099-C40C66FF867C}">
                  <a14:compatExt spid="_x0000_s216065"/>
                </a:ext>
                <a:ext uri="{FF2B5EF4-FFF2-40B4-BE49-F238E27FC236}">
                  <a16:creationId xmlns:a16="http://schemas.microsoft.com/office/drawing/2014/main" id="{00000000-0008-0000-0100-0000014C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4</xdr:col>
      <xdr:colOff>0</xdr:colOff>
      <xdr:row>6</xdr:row>
      <xdr:rowOff>38100</xdr:rowOff>
    </xdr:from>
    <xdr:to>
      <xdr:col>5</xdr:col>
      <xdr:colOff>22860</xdr:colOff>
      <xdr:row>8</xdr:row>
      <xdr:rowOff>38100</xdr:rowOff>
    </xdr:to>
    <xdr:pic>
      <xdr:nvPicPr>
        <xdr:cNvPr id="918191" name="Obrázek 7">
          <a:extLst>
            <a:ext uri="{FF2B5EF4-FFF2-40B4-BE49-F238E27FC236}">
              <a16:creationId xmlns:a16="http://schemas.microsoft.com/office/drawing/2014/main" id="{57A54470-9CCE-FBB8-6F40-975BDDCB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181100"/>
          <a:ext cx="581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0</xdr:row>
      <xdr:rowOff>152400</xdr:rowOff>
    </xdr:from>
    <xdr:to>
      <xdr:col>4</xdr:col>
      <xdr:colOff>289749</xdr:colOff>
      <xdr:row>3</xdr:row>
      <xdr:rowOff>61000</xdr:rowOff>
    </xdr:to>
    <xdr:pic>
      <xdr:nvPicPr>
        <xdr:cNvPr id="3" name="Obrázek 2">
          <a:extLst>
            <a:ext uri="{FF2B5EF4-FFF2-40B4-BE49-F238E27FC236}">
              <a16:creationId xmlns:a16="http://schemas.microsoft.com/office/drawing/2014/main" id="{1F0919A8-4F80-D124-A872-BC2A2FC8C64A}"/>
            </a:ext>
          </a:extLst>
        </xdr:cNvPr>
        <xdr:cNvPicPr>
          <a:picLocks noChangeAspect="1"/>
        </xdr:cNvPicPr>
      </xdr:nvPicPr>
      <xdr:blipFill>
        <a:blip xmlns:r="http://schemas.openxmlformats.org/officeDocument/2006/relationships" r:embed="rId2"/>
        <a:stretch>
          <a:fillRect/>
        </a:stretch>
      </xdr:blipFill>
      <xdr:spPr>
        <a:xfrm>
          <a:off x="312420" y="152400"/>
          <a:ext cx="2179509"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xdr:colOff>
      <xdr:row>0</xdr:row>
      <xdr:rowOff>165735</xdr:rowOff>
    </xdr:from>
    <xdr:to>
      <xdr:col>1</xdr:col>
      <xdr:colOff>1192530</xdr:colOff>
      <xdr:row>3</xdr:row>
      <xdr:rowOff>68580</xdr:rowOff>
    </xdr:to>
    <xdr:pic>
      <xdr:nvPicPr>
        <xdr:cNvPr id="2" name="Obrázek 7">
          <a:extLst>
            <a:ext uri="{FF2B5EF4-FFF2-40B4-BE49-F238E27FC236}">
              <a16:creationId xmlns:a16="http://schemas.microsoft.com/office/drawing/2014/main" id="{619CECB6-65C3-472A-98E1-35B47B06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 y="165735"/>
          <a:ext cx="111061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102393</xdr:colOff>
      <xdr:row>16</xdr:row>
      <xdr:rowOff>121443</xdr:rowOff>
    </xdr:from>
    <xdr:to>
      <xdr:col>5</xdr:col>
      <xdr:colOff>1525651</xdr:colOff>
      <xdr:row>19</xdr:row>
      <xdr:rowOff>180582</xdr:rowOff>
    </xdr:to>
    <xdr:pic>
      <xdr:nvPicPr>
        <xdr:cNvPr id="3" name="Obrázek 2">
          <a:extLst>
            <a:ext uri="{FF2B5EF4-FFF2-40B4-BE49-F238E27FC236}">
              <a16:creationId xmlns:a16="http://schemas.microsoft.com/office/drawing/2014/main" id="{2F2ED358-AB23-45C9-8B8C-70F012D4A42E}"/>
            </a:ext>
          </a:extLst>
        </xdr:cNvPr>
        <xdr:cNvPicPr>
          <a:picLocks noChangeAspect="1"/>
        </xdr:cNvPicPr>
      </xdr:nvPicPr>
      <xdr:blipFill>
        <a:blip xmlns:r="http://schemas.openxmlformats.org/officeDocument/2006/relationships" r:embed="rId2"/>
        <a:stretch>
          <a:fillRect/>
        </a:stretch>
      </xdr:blipFill>
      <xdr:spPr>
        <a:xfrm>
          <a:off x="5398293" y="2817018"/>
          <a:ext cx="3042508" cy="10306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1</xdr:row>
          <xdr:rowOff>0</xdr:rowOff>
        </xdr:to>
        <xdr:sp macro="" textlink="">
          <xdr:nvSpPr>
            <xdr:cNvPr id="357377" name="Check Box 1967" hidden="1">
              <a:extLst>
                <a:ext uri="{63B3BB69-23CF-44E3-9099-C40C66FF867C}">
                  <a14:compatExt spid="_x0000_s357377"/>
                </a:ext>
                <a:ext uri="{FF2B5EF4-FFF2-40B4-BE49-F238E27FC236}">
                  <a16:creationId xmlns:a16="http://schemas.microsoft.com/office/drawing/2014/main" id="{00000000-0008-0000-0300-0000017405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131445</xdr:colOff>
      <xdr:row>0</xdr:row>
      <xdr:rowOff>144780</xdr:rowOff>
    </xdr:from>
    <xdr:to>
      <xdr:col>4</xdr:col>
      <xdr:colOff>101154</xdr:colOff>
      <xdr:row>3</xdr:row>
      <xdr:rowOff>53380</xdr:rowOff>
    </xdr:to>
    <xdr:pic>
      <xdr:nvPicPr>
        <xdr:cNvPr id="3" name="Obrázek 2">
          <a:extLst>
            <a:ext uri="{FF2B5EF4-FFF2-40B4-BE49-F238E27FC236}">
              <a16:creationId xmlns:a16="http://schemas.microsoft.com/office/drawing/2014/main" id="{6D4050A9-0678-E190-527F-6935A77824B2}"/>
            </a:ext>
          </a:extLst>
        </xdr:cNvPr>
        <xdr:cNvPicPr>
          <a:picLocks noChangeAspect="1"/>
        </xdr:cNvPicPr>
      </xdr:nvPicPr>
      <xdr:blipFill>
        <a:blip xmlns:r="http://schemas.openxmlformats.org/officeDocument/2006/relationships" r:embed="rId1"/>
        <a:stretch>
          <a:fillRect/>
        </a:stretch>
      </xdr:blipFill>
      <xdr:spPr>
        <a:xfrm>
          <a:off x="131445" y="144780"/>
          <a:ext cx="2122359" cy="48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26</xdr:row>
          <xdr:rowOff>628650</xdr:rowOff>
        </xdr:from>
        <xdr:to>
          <xdr:col>12</xdr:col>
          <xdr:colOff>428625</xdr:colOff>
          <xdr:row>28</xdr:row>
          <xdr:rowOff>171450</xdr:rowOff>
        </xdr:to>
        <xdr:sp macro="" textlink="">
          <xdr:nvSpPr>
            <xdr:cNvPr id="1007620" name="Check Box 4" hidden="1">
              <a:extLst>
                <a:ext uri="{63B3BB69-23CF-44E3-9099-C40C66FF867C}">
                  <a14:compatExt spid="_x0000_s1007620"/>
                </a:ext>
                <a:ext uri="{FF2B5EF4-FFF2-40B4-BE49-F238E27FC236}">
                  <a16:creationId xmlns:a16="http://schemas.microsoft.com/office/drawing/2014/main" id="{00000000-0008-0000-0600-000004600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327660</xdr:colOff>
      <xdr:row>0</xdr:row>
      <xdr:rowOff>144780</xdr:rowOff>
    </xdr:from>
    <xdr:to>
      <xdr:col>4</xdr:col>
      <xdr:colOff>287844</xdr:colOff>
      <xdr:row>3</xdr:row>
      <xdr:rowOff>38140</xdr:rowOff>
    </xdr:to>
    <xdr:pic>
      <xdr:nvPicPr>
        <xdr:cNvPr id="2" name="Obrázek 1">
          <a:extLst>
            <a:ext uri="{FF2B5EF4-FFF2-40B4-BE49-F238E27FC236}">
              <a16:creationId xmlns:a16="http://schemas.microsoft.com/office/drawing/2014/main" id="{07076B4C-5BAB-AD5A-4E8F-D59B2D59B993}"/>
            </a:ext>
          </a:extLst>
        </xdr:cNvPr>
        <xdr:cNvPicPr>
          <a:picLocks noChangeAspect="1"/>
        </xdr:cNvPicPr>
      </xdr:nvPicPr>
      <xdr:blipFill>
        <a:blip xmlns:r="http://schemas.openxmlformats.org/officeDocument/2006/relationships" r:embed="rId1"/>
        <a:stretch>
          <a:fillRect/>
        </a:stretch>
      </xdr:blipFill>
      <xdr:spPr>
        <a:xfrm>
          <a:off x="327660" y="144780"/>
          <a:ext cx="2179509"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614" name="Check Box 22" hidden="1">
              <a:extLst>
                <a:ext uri="{63B3BB69-23CF-44E3-9099-C40C66FF867C}">
                  <a14:compatExt spid="_x0000_s110614"/>
                </a:ext>
                <a:ext uri="{FF2B5EF4-FFF2-40B4-BE49-F238E27FC236}">
                  <a16:creationId xmlns:a16="http://schemas.microsoft.com/office/drawing/2014/main" id="{00000000-0008-0000-0800-00001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453390</xdr:colOff>
      <xdr:row>4</xdr:row>
      <xdr:rowOff>0</xdr:rowOff>
    </xdr:to>
    <xdr:pic>
      <xdr:nvPicPr>
        <xdr:cNvPr id="943146" name="Obrázek 7">
          <a:extLst>
            <a:ext uri="{FF2B5EF4-FFF2-40B4-BE49-F238E27FC236}">
              <a16:creationId xmlns:a16="http://schemas.microsoft.com/office/drawing/2014/main" id="{34533245-0585-C807-248F-306679B0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760905" name="Check Box 1097" hidden="1">
              <a:extLst>
                <a:ext uri="{63B3BB69-23CF-44E3-9099-C40C66FF867C}">
                  <a14:compatExt spid="_x0000_s760905"/>
                </a:ext>
                <a:ext uri="{FF2B5EF4-FFF2-40B4-BE49-F238E27FC236}">
                  <a16:creationId xmlns:a16="http://schemas.microsoft.com/office/drawing/2014/main" id="{00000000-0008-0000-0800-0000499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15</xdr:row>
          <xdr:rowOff>137160</xdr:rowOff>
        </xdr:from>
        <xdr:to>
          <xdr:col>40</xdr:col>
          <xdr:colOff>91440</xdr:colOff>
          <xdr:row>16</xdr:row>
          <xdr:rowOff>148590</xdr:rowOff>
        </xdr:to>
        <mc:AlternateContent>
          <mc:Choice Requires="a14">
            <xdr:pic>
              <xdr:nvPicPr>
                <xdr:cNvPr id="3" name="Obrázek 2">
                  <a:extLst>
                    <a:ext uri="{FF2B5EF4-FFF2-40B4-BE49-F238E27FC236}">
                      <a16:creationId xmlns:a16="http://schemas.microsoft.com/office/drawing/2014/main" id="{DE3C7A6A-7116-CD41-4099-360EC19DA688}"/>
                    </a:ext>
                  </a:extLst>
                </xdr:cNvPr>
                <xdr:cNvPicPr>
                  <a:picLocks noChangeAspect="1" noChangeArrowheads="1"/>
                  <a:extLst>
                    <a:ext uri="{84589F7E-364E-4C9E-8A38-B11213B215E9}">
                      <a14:cameraTool cellRange="kombinace_1!$CH$13" spid="_x0000_s761021"/>
                    </a:ext>
                  </a:extLst>
                </xdr:cNvPicPr>
              </xdr:nvPicPr>
              <xdr:blipFill>
                <a:blip xmlns:r="http://schemas.openxmlformats.org/officeDocument/2006/relationships" r:embed="rId2"/>
                <a:srcRect/>
                <a:stretch>
                  <a:fillRect/>
                </a:stretch>
              </xdr:blipFill>
              <xdr:spPr bwMode="auto">
                <a:xfrm>
                  <a:off x="10797540" y="3596640"/>
                  <a:ext cx="5135880" cy="228600"/>
                </a:xfrm>
                <a:prstGeom prst="rect">
                  <a:avLst/>
                </a:prstGeom>
                <a:noFill/>
                <a:extLst>
                  <a:ext uri="{909E8E84-426E-40DD-AFC4-6F175D3DCCD1}">
                    <a14:hiddenFill>
                      <a:solidFill>
                        <a:srgbClr val="FFFFFF"/>
                      </a:solidFill>
                    </a14:hiddenFill>
                  </a:ext>
                </a:extLst>
              </xdr:spPr>
            </xdr:pic>
          </mc:Choice>
          <mc:Fallback xmlns=""/>
        </mc:AlternateContent>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15240</xdr:rowOff>
        </xdr:from>
        <xdr:to>
          <xdr:col>33</xdr:col>
          <xdr:colOff>72390</xdr:colOff>
          <xdr:row>26</xdr:row>
          <xdr:rowOff>135255</xdr:rowOff>
        </xdr:to>
        <xdr:pic>
          <xdr:nvPicPr>
            <xdr:cNvPr id="4" name="Obrázek 3">
              <a:extLst>
                <a:ext uri="{FF2B5EF4-FFF2-40B4-BE49-F238E27FC236}">
                  <a16:creationId xmlns:a16="http://schemas.microsoft.com/office/drawing/2014/main" id="{5A50A738-1BC8-2514-C7B5-7B906C795CCD}"/>
                </a:ext>
              </a:extLst>
            </xdr:cNvPr>
            <xdr:cNvPicPr>
              <a:picLocks noChangeAspect="1" noChangeArrowheads="1"/>
              <a:extLst>
                <a:ext uri="{84589F7E-364E-4C9E-8A38-B11213B215E9}">
                  <a14:cameraTool cellRange="kombinace_1!$CH$14" spid="_x0000_s761022"/>
                </a:ext>
              </a:extLst>
            </xdr:cNvPicPr>
          </xdr:nvPicPr>
          <xdr:blipFill>
            <a:blip xmlns:r="http://schemas.openxmlformats.org/officeDocument/2006/relationships" r:embed="rId2"/>
            <a:srcRect/>
            <a:stretch>
              <a:fillRect/>
            </a:stretch>
          </xdr:blipFill>
          <xdr:spPr bwMode="auto">
            <a:xfrm>
              <a:off x="13319759" y="1143000"/>
              <a:ext cx="274321" cy="5013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133350</xdr:rowOff>
        </xdr:from>
        <xdr:to>
          <xdr:col>40</xdr:col>
          <xdr:colOff>91440</xdr:colOff>
          <xdr:row>16</xdr:row>
          <xdr:rowOff>152400</xdr:rowOff>
        </xdr:to>
        <xdr:pic>
          <xdr:nvPicPr>
            <xdr:cNvPr id="2699394" name="Obrázek 2">
              <a:extLst>
                <a:ext uri="{FF2B5EF4-FFF2-40B4-BE49-F238E27FC236}">
                  <a16:creationId xmlns:a16="http://schemas.microsoft.com/office/drawing/2014/main" id="{F733870A-796E-89CE-C72E-8AC202679605}"/>
                </a:ext>
              </a:extLst>
            </xdr:cNvPr>
            <xdr:cNvPicPr>
              <a:picLocks noChangeAspect="1" noChangeArrowheads="1"/>
              <a:extLst>
                <a:ext uri="{84589F7E-364E-4C9E-8A38-B11213B215E9}">
                  <a14:cameraTool cellRange="kombinace_1!$CH$13" spid="_x0000_s761023"/>
                </a:ext>
              </a:extLst>
            </xdr:cNvPicPr>
          </xdr:nvPicPr>
          <xdr:blipFill>
            <a:blip xmlns:r="http://schemas.openxmlformats.org/officeDocument/2006/relationships" r:embed="rId2"/>
            <a:srcRect/>
            <a:stretch>
              <a:fillRect/>
            </a:stretch>
          </xdr:blipFill>
          <xdr:spPr bwMode="auto">
            <a:xfrm>
              <a:off x="11001375" y="3562350"/>
              <a:ext cx="5000625" cy="247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19050</xdr:rowOff>
        </xdr:from>
        <xdr:to>
          <xdr:col>33</xdr:col>
          <xdr:colOff>76200</xdr:colOff>
          <xdr:row>26</xdr:row>
          <xdr:rowOff>135255</xdr:rowOff>
        </xdr:to>
        <xdr:pic>
          <xdr:nvPicPr>
            <xdr:cNvPr id="2699395" name="Obrázek 3">
              <a:extLst>
                <a:ext uri="{FF2B5EF4-FFF2-40B4-BE49-F238E27FC236}">
                  <a16:creationId xmlns:a16="http://schemas.microsoft.com/office/drawing/2014/main" id="{1E89FA81-C3C2-102A-87C9-2DDCE830721E}"/>
                </a:ext>
              </a:extLst>
            </xdr:cNvPr>
            <xdr:cNvPicPr>
              <a:picLocks noChangeAspect="1" noChangeArrowheads="1"/>
              <a:extLst>
                <a:ext uri="{84589F7E-364E-4C9E-8A38-B11213B215E9}">
                  <a14:cameraTool cellRange="kombinace_1!$CH$14" spid="_x0000_s761024"/>
                </a:ext>
              </a:extLst>
            </xdr:cNvPicPr>
          </xdr:nvPicPr>
          <xdr:blipFill>
            <a:blip xmlns:r="http://schemas.openxmlformats.org/officeDocument/2006/relationships" r:embed="rId2"/>
            <a:srcRect/>
            <a:stretch>
              <a:fillRect/>
            </a:stretch>
          </xdr:blipFill>
          <xdr:spPr bwMode="auto">
            <a:xfrm>
              <a:off x="13458825" y="1133475"/>
              <a:ext cx="285750" cy="5000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43815</xdr:colOff>
          <xdr:row>15</xdr:row>
          <xdr:rowOff>123825</xdr:rowOff>
        </xdr:from>
        <xdr:to>
          <xdr:col>41</xdr:col>
          <xdr:colOff>2963</xdr:colOff>
          <xdr:row>16</xdr:row>
          <xdr:rowOff>98849</xdr:rowOff>
        </xdr:to>
        <xdr:pic>
          <xdr:nvPicPr>
            <xdr:cNvPr id="3" name="Obrázek 2">
              <a:extLst>
                <a:ext uri="{FF2B5EF4-FFF2-40B4-BE49-F238E27FC236}">
                  <a16:creationId xmlns:a16="http://schemas.microsoft.com/office/drawing/2014/main" id="{29822EBA-4C4C-4E3C-BF8D-2CFD77031D38}"/>
                </a:ext>
              </a:extLst>
            </xdr:cNvPr>
            <xdr:cNvPicPr>
              <a:picLocks noChangeAspect="1" noChangeArrowheads="1"/>
              <a:extLst>
                <a:ext uri="{84589F7E-364E-4C9E-8A38-B11213B215E9}">
                  <a14:cameraTool cellRange="kombinace_2!$CH$13" spid="_x0000_s1109826"/>
                </a:ext>
              </a:extLst>
            </xdr:cNvPicPr>
          </xdr:nvPicPr>
          <xdr:blipFill>
            <a:blip xmlns:r="http://schemas.openxmlformats.org/officeDocument/2006/relationships" r:embed="rId1"/>
            <a:srcRect/>
            <a:stretch>
              <a:fillRect/>
            </a:stretch>
          </xdr:blipFill>
          <xdr:spPr bwMode="auto">
            <a:xfrm>
              <a:off x="10810875" y="3583305"/>
              <a:ext cx="5140748" cy="1921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15239</xdr:rowOff>
        </xdr:from>
        <xdr:to>
          <xdr:col>33</xdr:col>
          <xdr:colOff>21378</xdr:colOff>
          <xdr:row>26</xdr:row>
          <xdr:rowOff>193675</xdr:rowOff>
        </xdr:to>
        <xdr:pic>
          <xdr:nvPicPr>
            <xdr:cNvPr id="4" name="Obrázek 3">
              <a:extLst>
                <a:ext uri="{FF2B5EF4-FFF2-40B4-BE49-F238E27FC236}">
                  <a16:creationId xmlns:a16="http://schemas.microsoft.com/office/drawing/2014/main" id="{7542DBC3-2282-4FB0-B8FA-615B7A6BB5DD}"/>
                </a:ext>
              </a:extLst>
            </xdr:cNvPr>
            <xdr:cNvPicPr>
              <a:picLocks noChangeAspect="1" noChangeArrowheads="1"/>
              <a:extLst>
                <a:ext uri="{84589F7E-364E-4C9E-8A38-B11213B215E9}">
                  <a14:cameraTool cellRange="kombinace_2!$CH$14" spid="_x0000_s1109827"/>
                </a:ext>
              </a:extLst>
            </xdr:cNvPicPr>
          </xdr:nvPicPr>
          <xdr:blipFill>
            <a:blip xmlns:r="http://schemas.openxmlformats.org/officeDocument/2006/relationships" r:embed="rId1"/>
            <a:srcRect/>
            <a:stretch>
              <a:fillRect/>
            </a:stretch>
          </xdr:blipFill>
          <xdr:spPr bwMode="auto">
            <a:xfrm>
              <a:off x="13318066" y="1141306"/>
              <a:ext cx="211667" cy="50308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9763" name="Check Box 3843" hidden="1">
              <a:extLst>
                <a:ext uri="{63B3BB69-23CF-44E3-9099-C40C66FF867C}">
                  <a14:compatExt spid="_x0000_s1109763"/>
                </a:ext>
                <a:ext uri="{FF2B5EF4-FFF2-40B4-BE49-F238E27FC236}">
                  <a16:creationId xmlns:a16="http://schemas.microsoft.com/office/drawing/2014/main" id="{00000000-0008-0000-0A00-000003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440055</xdr:colOff>
      <xdr:row>4</xdr:row>
      <xdr:rowOff>0</xdr:rowOff>
    </xdr:to>
    <xdr:pic>
      <xdr:nvPicPr>
        <xdr:cNvPr id="2" name="Obrázek 7">
          <a:extLst>
            <a:ext uri="{FF2B5EF4-FFF2-40B4-BE49-F238E27FC236}">
              <a16:creationId xmlns:a16="http://schemas.microsoft.com/office/drawing/2014/main" id="{5993EBD5-21F2-47CD-8EB7-6B0B40EED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995" y="28575"/>
          <a:ext cx="108775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1109764" name="Check Box 3844" hidden="1">
              <a:extLst>
                <a:ext uri="{63B3BB69-23CF-44E3-9099-C40C66FF867C}">
                  <a14:compatExt spid="_x0000_s1109764"/>
                </a:ext>
                <a:ext uri="{FF2B5EF4-FFF2-40B4-BE49-F238E27FC236}">
                  <a16:creationId xmlns:a16="http://schemas.microsoft.com/office/drawing/2014/main" id="{00000000-0008-0000-0A00-000004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314325</xdr:colOff>
          <xdr:row>7</xdr:row>
          <xdr:rowOff>238125</xdr:rowOff>
        </xdr:to>
        <xdr:sp macro="" textlink="">
          <xdr:nvSpPr>
            <xdr:cNvPr id="782426" name="Check Box 1114" hidden="1">
              <a:extLst>
                <a:ext uri="{63B3BB69-23CF-44E3-9099-C40C66FF867C}">
                  <a14:compatExt spid="_x0000_s782426"/>
                </a:ext>
                <a:ext uri="{FF2B5EF4-FFF2-40B4-BE49-F238E27FC236}">
                  <a16:creationId xmlns:a16="http://schemas.microsoft.com/office/drawing/2014/main" id="{00000000-0008-0000-0C00-00005AF0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285750</xdr:colOff>
          <xdr:row>7</xdr:row>
          <xdr:rowOff>0</xdr:rowOff>
        </xdr:to>
        <xdr:sp macro="" textlink="">
          <xdr:nvSpPr>
            <xdr:cNvPr id="783316" name="Check Box 2004" hidden="1">
              <a:extLst>
                <a:ext uri="{63B3BB69-23CF-44E3-9099-C40C66FF867C}">
                  <a14:compatExt spid="_x0000_s783316"/>
                </a:ext>
                <a:ext uri="{FF2B5EF4-FFF2-40B4-BE49-F238E27FC236}">
                  <a16:creationId xmlns:a16="http://schemas.microsoft.com/office/drawing/2014/main" id="{00000000-0008-0000-0C00-0000D4F3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438150</xdr:colOff>
      <xdr:row>4</xdr:row>
      <xdr:rowOff>0</xdr:rowOff>
    </xdr:to>
    <xdr:pic>
      <xdr:nvPicPr>
        <xdr:cNvPr id="10" name="Obrázek 7">
          <a:extLst>
            <a:ext uri="{FF2B5EF4-FFF2-40B4-BE49-F238E27FC236}">
              <a16:creationId xmlns:a16="http://schemas.microsoft.com/office/drawing/2014/main" id="{E0467556-4876-42E8-BB4B-76D47D3F6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13335</xdr:colOff>
          <xdr:row>15</xdr:row>
          <xdr:rowOff>127635</xdr:rowOff>
        </xdr:from>
        <xdr:to>
          <xdr:col>41</xdr:col>
          <xdr:colOff>0</xdr:colOff>
          <xdr:row>16</xdr:row>
          <xdr:rowOff>97707</xdr:rowOff>
        </xdr:to>
        <xdr:pic>
          <xdr:nvPicPr>
            <xdr:cNvPr id="11" name="Obrázek 10">
              <a:extLst>
                <a:ext uri="{FF2B5EF4-FFF2-40B4-BE49-F238E27FC236}">
                  <a16:creationId xmlns:a16="http://schemas.microsoft.com/office/drawing/2014/main" id="{8B1700DC-4276-4D23-8427-B5451891AD10}"/>
                </a:ext>
              </a:extLst>
            </xdr:cNvPr>
            <xdr:cNvPicPr>
              <a:picLocks noChangeAspect="1" noChangeArrowheads="1"/>
              <a:extLst>
                <a:ext uri="{84589F7E-364E-4C9E-8A38-B11213B215E9}">
                  <a14:cameraTool cellRange="kombinace_3!$CH$13" spid="_x0000_s2694161"/>
                </a:ext>
              </a:extLst>
            </xdr:cNvPicPr>
          </xdr:nvPicPr>
          <xdr:blipFill>
            <a:blip xmlns:r="http://schemas.openxmlformats.org/officeDocument/2006/relationships" r:embed="rId2"/>
            <a:srcRect/>
            <a:stretch>
              <a:fillRect/>
            </a:stretch>
          </xdr:blipFill>
          <xdr:spPr bwMode="auto">
            <a:xfrm>
              <a:off x="10795635" y="3556635"/>
              <a:ext cx="5025390" cy="20629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257175</xdr:colOff>
          <xdr:row>6</xdr:row>
          <xdr:rowOff>28575</xdr:rowOff>
        </xdr:from>
        <xdr:to>
          <xdr:col>33</xdr:col>
          <xdr:colOff>133350</xdr:colOff>
          <xdr:row>27</xdr:row>
          <xdr:rowOff>0</xdr:rowOff>
        </xdr:to>
        <xdr:pic>
          <xdr:nvPicPr>
            <xdr:cNvPr id="1564329" name="Obrázek 3">
              <a:extLst>
                <a:ext uri="{FF2B5EF4-FFF2-40B4-BE49-F238E27FC236}">
                  <a16:creationId xmlns:a16="http://schemas.microsoft.com/office/drawing/2014/main" id="{0A5115E3-19B8-7024-A331-6BCAB6877E00}"/>
                </a:ext>
              </a:extLst>
            </xdr:cNvPr>
            <xdr:cNvPicPr>
              <a:picLocks noChangeAspect="1" noChangeArrowheads="1"/>
              <a:extLst>
                <a:ext uri="{84589F7E-364E-4C9E-8A38-B11213B215E9}">
                  <a14:cameraTool cellRange="kombinace_3!$CH$14" spid="_x0000_s2694162"/>
                </a:ext>
              </a:extLst>
            </xdr:cNvPicPr>
          </xdr:nvPicPr>
          <xdr:blipFill>
            <a:blip xmlns:r="http://schemas.openxmlformats.org/officeDocument/2006/relationships" r:embed="rId2"/>
            <a:srcRect/>
            <a:stretch>
              <a:fillRect/>
            </a:stretch>
          </xdr:blipFill>
          <xdr:spPr bwMode="auto">
            <a:xfrm>
              <a:off x="13363575" y="1143000"/>
              <a:ext cx="228600" cy="5029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371475</xdr:colOff>
          <xdr:row>7</xdr:row>
          <xdr:rowOff>0</xdr:rowOff>
        </xdr:to>
        <xdr:sp macro="" textlink="">
          <xdr:nvSpPr>
            <xdr:cNvPr id="332805" name="Check Box 5" hidden="1">
              <a:extLst>
                <a:ext uri="{63B3BB69-23CF-44E3-9099-C40C66FF867C}">
                  <a14:compatExt spid="_x0000_s332805"/>
                </a:ext>
                <a:ext uri="{FF2B5EF4-FFF2-40B4-BE49-F238E27FC236}">
                  <a16:creationId xmlns:a16="http://schemas.microsoft.com/office/drawing/2014/main" id="{00000000-0008-0000-0E00-0000051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200025</xdr:rowOff>
        </xdr:to>
        <xdr:sp macro="" textlink="">
          <xdr:nvSpPr>
            <xdr:cNvPr id="783450" name="Check Box 1114" hidden="1">
              <a:extLst>
                <a:ext uri="{63B3BB69-23CF-44E3-9099-C40C66FF867C}">
                  <a14:compatExt spid="_x0000_s783450"/>
                </a:ext>
                <a:ext uri="{FF2B5EF4-FFF2-40B4-BE49-F238E27FC236}">
                  <a16:creationId xmlns:a16="http://schemas.microsoft.com/office/drawing/2014/main" id="{00000000-0008-0000-0E00-00005AF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435399</xdr:colOff>
      <xdr:row>4</xdr:row>
      <xdr:rowOff>0</xdr:rowOff>
    </xdr:to>
    <xdr:pic>
      <xdr:nvPicPr>
        <xdr:cNvPr id="2" name="Obrázek 7">
          <a:extLst>
            <a:ext uri="{FF2B5EF4-FFF2-40B4-BE49-F238E27FC236}">
              <a16:creationId xmlns:a16="http://schemas.microsoft.com/office/drawing/2014/main" id="{8CCC0B42-B7FA-456B-A500-66506817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 y="28575"/>
          <a:ext cx="109156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12276</xdr:colOff>
          <xdr:row>15</xdr:row>
          <xdr:rowOff>147742</xdr:rowOff>
        </xdr:from>
        <xdr:to>
          <xdr:col>41</xdr:col>
          <xdr:colOff>16152</xdr:colOff>
          <xdr:row>16</xdr:row>
          <xdr:rowOff>168698</xdr:rowOff>
        </xdr:to>
        <xdr:pic>
          <xdr:nvPicPr>
            <xdr:cNvPr id="3" name="Obrázek 2">
              <a:extLst>
                <a:ext uri="{FF2B5EF4-FFF2-40B4-BE49-F238E27FC236}">
                  <a16:creationId xmlns:a16="http://schemas.microsoft.com/office/drawing/2014/main" id="{35AEE622-9260-44CC-909B-EFD1A6C46B4F}"/>
                </a:ext>
              </a:extLst>
            </xdr:cNvPr>
            <xdr:cNvPicPr>
              <a:picLocks noChangeAspect="1" noChangeArrowheads="1"/>
              <a:extLst>
                <a:ext uri="{84589F7E-364E-4C9E-8A38-B11213B215E9}">
                  <a14:cameraTool cellRange="kombinace_4!$CH$13" spid="_x0000_s784346"/>
                </a:ext>
              </a:extLst>
            </xdr:cNvPicPr>
          </xdr:nvPicPr>
          <xdr:blipFill>
            <a:blip xmlns:r="http://schemas.openxmlformats.org/officeDocument/2006/relationships" r:embed="rId2"/>
            <a:srcRect/>
            <a:stretch>
              <a:fillRect/>
            </a:stretch>
          </xdr:blipFill>
          <xdr:spPr bwMode="auto">
            <a:xfrm>
              <a:off x="9950026" y="3608492"/>
              <a:ext cx="5032018" cy="2480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16299</xdr:colOff>
          <xdr:row>26</xdr:row>
          <xdr:rowOff>211667</xdr:rowOff>
        </xdr:to>
        <xdr:pic>
          <xdr:nvPicPr>
            <xdr:cNvPr id="4" name="Obrázek 3">
              <a:extLst>
                <a:ext uri="{FF2B5EF4-FFF2-40B4-BE49-F238E27FC236}">
                  <a16:creationId xmlns:a16="http://schemas.microsoft.com/office/drawing/2014/main" id="{9C696408-EB0E-4D21-8118-3BFAE262EF3E}"/>
                </a:ext>
              </a:extLst>
            </xdr:cNvPr>
            <xdr:cNvPicPr>
              <a:picLocks noChangeAspect="1" noChangeArrowheads="1"/>
              <a:extLst>
                <a:ext uri="{84589F7E-364E-4C9E-8A38-B11213B215E9}">
                  <a14:cameraTool cellRange="kombinace_4!$CH$14" spid="_x0000_s784347"/>
                </a:ext>
              </a:extLst>
            </xdr:cNvPicPr>
          </xdr:nvPicPr>
          <xdr:blipFill>
            <a:blip xmlns:r="http://schemas.openxmlformats.org/officeDocument/2006/relationships" r:embed="rId2"/>
            <a:srcRect/>
            <a:stretch>
              <a:fillRect/>
            </a:stretch>
          </xdr:blipFill>
          <xdr:spPr bwMode="auto">
            <a:xfrm>
              <a:off x="12418483" y="1137073"/>
              <a:ext cx="218018" cy="50965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3829" name="Check Box 5" hidden="1">
              <a:extLst>
                <a:ext uri="{63B3BB69-23CF-44E3-9099-C40C66FF867C}">
                  <a14:compatExt spid="_x0000_s333829"/>
                </a:ext>
                <a:ext uri="{FF2B5EF4-FFF2-40B4-BE49-F238E27FC236}">
                  <a16:creationId xmlns:a16="http://schemas.microsoft.com/office/drawing/2014/main" id="{00000000-0008-0000-1000-0000051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161925</xdr:rowOff>
        </xdr:from>
        <xdr:to>
          <xdr:col>5</xdr:col>
          <xdr:colOff>285750</xdr:colOff>
          <xdr:row>7</xdr:row>
          <xdr:rowOff>228600</xdr:rowOff>
        </xdr:to>
        <xdr:sp macro="" textlink="">
          <xdr:nvSpPr>
            <xdr:cNvPr id="784473" name="Check Box 1113" hidden="1">
              <a:extLst>
                <a:ext uri="{63B3BB69-23CF-44E3-9099-C40C66FF867C}">
                  <a14:compatExt spid="_x0000_s784473"/>
                </a:ext>
                <a:ext uri="{FF2B5EF4-FFF2-40B4-BE49-F238E27FC236}">
                  <a16:creationId xmlns:a16="http://schemas.microsoft.com/office/drawing/2014/main" id="{00000000-0008-0000-1000-000059F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439209</xdr:colOff>
      <xdr:row>4</xdr:row>
      <xdr:rowOff>0</xdr:rowOff>
    </xdr:to>
    <xdr:pic>
      <xdr:nvPicPr>
        <xdr:cNvPr id="2" name="Obrázek 7">
          <a:extLst>
            <a:ext uri="{FF2B5EF4-FFF2-40B4-BE49-F238E27FC236}">
              <a16:creationId xmlns:a16="http://schemas.microsoft.com/office/drawing/2014/main" id="{54FCDCE8-E4D6-474D-B205-1C39ACB4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12277</xdr:colOff>
          <xdr:row>15</xdr:row>
          <xdr:rowOff>115994</xdr:rowOff>
        </xdr:from>
        <xdr:to>
          <xdr:col>40</xdr:col>
          <xdr:colOff>136737</xdr:colOff>
          <xdr:row>16</xdr:row>
          <xdr:rowOff>92289</xdr:rowOff>
        </xdr:to>
        <xdr:pic>
          <xdr:nvPicPr>
            <xdr:cNvPr id="3" name="Obrázek 2">
              <a:extLst>
                <a:ext uri="{FF2B5EF4-FFF2-40B4-BE49-F238E27FC236}">
                  <a16:creationId xmlns:a16="http://schemas.microsoft.com/office/drawing/2014/main" id="{AB599E3E-F779-451E-938D-2FCD9E7C5DBE}"/>
                </a:ext>
              </a:extLst>
            </xdr:cNvPr>
            <xdr:cNvPicPr>
              <a:picLocks noChangeAspect="1" noChangeArrowheads="1"/>
              <a:extLst>
                <a:ext uri="{84589F7E-364E-4C9E-8A38-B11213B215E9}">
                  <a14:cameraTool cellRange="kombinace_5!$CH$13" spid="_x0000_s785338"/>
                </a:ext>
              </a:extLst>
            </xdr:cNvPicPr>
          </xdr:nvPicPr>
          <xdr:blipFill>
            <a:blip xmlns:r="http://schemas.openxmlformats.org/officeDocument/2006/relationships" r:embed="rId2"/>
            <a:srcRect/>
            <a:stretch>
              <a:fillRect/>
            </a:stretch>
          </xdr:blipFill>
          <xdr:spPr bwMode="auto">
            <a:xfrm>
              <a:off x="9950027" y="3576744"/>
              <a:ext cx="5004223" cy="20150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32</xdr:col>
          <xdr:colOff>324273</xdr:colOff>
          <xdr:row>26</xdr:row>
          <xdr:rowOff>208915</xdr:rowOff>
        </xdr:to>
        <xdr:pic>
          <xdr:nvPicPr>
            <xdr:cNvPr id="4" name="Obrázek 3">
              <a:extLst>
                <a:ext uri="{FF2B5EF4-FFF2-40B4-BE49-F238E27FC236}">
                  <a16:creationId xmlns:a16="http://schemas.microsoft.com/office/drawing/2014/main" id="{E7E26128-AFFA-497E-BEDD-F8852F3B185E}"/>
                </a:ext>
              </a:extLst>
            </xdr:cNvPr>
            <xdr:cNvPicPr>
              <a:picLocks noChangeAspect="1" noChangeArrowheads="1"/>
              <a:extLst>
                <a:ext uri="{84589F7E-364E-4C9E-8A38-B11213B215E9}">
                  <a14:cameraTool cellRange="kombinace_5!$CH$14" spid="_x0000_s785339"/>
                </a:ext>
              </a:extLst>
            </xdr:cNvPicPr>
          </xdr:nvPicPr>
          <xdr:blipFill>
            <a:blip xmlns:r="http://schemas.openxmlformats.org/officeDocument/2006/relationships" r:embed="rId2"/>
            <a:srcRect/>
            <a:stretch>
              <a:fillRect/>
            </a:stretch>
          </xdr:blipFill>
          <xdr:spPr bwMode="auto">
            <a:xfrm>
              <a:off x="12947650" y="1137073"/>
              <a:ext cx="17568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4853" name="Check Box 5" hidden="1">
              <a:extLst>
                <a:ext uri="{63B3BB69-23CF-44E3-9099-C40C66FF867C}">
                  <a14:compatExt spid="_x0000_s334853"/>
                </a:ext>
                <a:ext uri="{FF2B5EF4-FFF2-40B4-BE49-F238E27FC236}">
                  <a16:creationId xmlns:a16="http://schemas.microsoft.com/office/drawing/2014/main" id="{00000000-0008-0000-1200-000005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xdr:colOff>
          <xdr:row>15</xdr:row>
          <xdr:rowOff>175259</xdr:rowOff>
        </xdr:from>
        <xdr:to>
          <xdr:col>40</xdr:col>
          <xdr:colOff>117817</xdr:colOff>
          <xdr:row>16</xdr:row>
          <xdr:rowOff>136313</xdr:rowOff>
        </xdr:to>
        <xdr:pic>
          <xdr:nvPicPr>
            <xdr:cNvPr id="3" name="Obrázek 2">
              <a:extLst>
                <a:ext uri="{FF2B5EF4-FFF2-40B4-BE49-F238E27FC236}">
                  <a16:creationId xmlns:a16="http://schemas.microsoft.com/office/drawing/2014/main" id="{41C9E079-78BE-4497-81F6-A1C778800EF7}"/>
                </a:ext>
              </a:extLst>
            </xdr:cNvPr>
            <xdr:cNvPicPr>
              <a:picLocks noChangeAspect="1" noChangeArrowheads="1"/>
              <a:extLst>
                <a:ext uri="{84589F7E-364E-4C9E-8A38-B11213B215E9}">
                  <a14:cameraTool cellRange="kombinace_6!$CH$13" spid="_x0000_s954248"/>
                </a:ext>
              </a:extLst>
            </xdr:cNvPicPr>
          </xdr:nvPicPr>
          <xdr:blipFill>
            <a:blip xmlns:r="http://schemas.openxmlformats.org/officeDocument/2006/relationships" r:embed="rId1"/>
            <a:srcRect/>
            <a:stretch>
              <a:fillRect/>
            </a:stretch>
          </xdr:blipFill>
          <xdr:spPr bwMode="auto">
            <a:xfrm>
              <a:off x="9938385" y="3604259"/>
              <a:ext cx="4979377" cy="1972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0</xdr:colOff>
          <xdr:row>26</xdr:row>
          <xdr:rowOff>212725</xdr:rowOff>
        </xdr:to>
        <xdr:pic>
          <xdr:nvPicPr>
            <xdr:cNvPr id="4" name="Obrázek 3">
              <a:extLst>
                <a:ext uri="{FF2B5EF4-FFF2-40B4-BE49-F238E27FC236}">
                  <a16:creationId xmlns:a16="http://schemas.microsoft.com/office/drawing/2014/main" id="{0C5730BE-D1AF-400E-B21F-3847991642AC}"/>
                </a:ext>
              </a:extLst>
            </xdr:cNvPr>
            <xdr:cNvPicPr>
              <a:picLocks noChangeAspect="1" noChangeArrowheads="1"/>
              <a:extLst>
                <a:ext uri="{84589F7E-364E-4C9E-8A38-B11213B215E9}">
                  <a14:cameraTool cellRange="kombinace_6!$CH$14" spid="_x0000_s954249"/>
                </a:ext>
              </a:extLst>
            </xdr:cNvPicPr>
          </xdr:nvPicPr>
          <xdr:blipFill>
            <a:blip xmlns:r="http://schemas.openxmlformats.org/officeDocument/2006/relationships" r:embed="rId1"/>
            <a:srcRect/>
            <a:stretch>
              <a:fillRect/>
            </a:stretch>
          </xdr:blipFill>
          <xdr:spPr bwMode="auto">
            <a:xfrm>
              <a:off x="12947650" y="1137073"/>
              <a:ext cx="20743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104775</xdr:colOff>
      <xdr:row>0</xdr:row>
      <xdr:rowOff>28575</xdr:rowOff>
    </xdr:from>
    <xdr:to>
      <xdr:col>3</xdr:col>
      <xdr:colOff>434340</xdr:colOff>
      <xdr:row>4</xdr:row>
      <xdr:rowOff>0</xdr:rowOff>
    </xdr:to>
    <xdr:pic>
      <xdr:nvPicPr>
        <xdr:cNvPr id="9" name="Obrázek 7">
          <a:extLst>
            <a:ext uri="{FF2B5EF4-FFF2-40B4-BE49-F238E27FC236}">
              <a16:creationId xmlns:a16="http://schemas.microsoft.com/office/drawing/2014/main" id="{FA727637-369B-4B23-95F0-97DCD2CF7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28575"/>
          <a:ext cx="10610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266700</xdr:colOff>
          <xdr:row>7</xdr:row>
          <xdr:rowOff>228600</xdr:rowOff>
        </xdr:to>
        <xdr:sp macro="" textlink="">
          <xdr:nvSpPr>
            <xdr:cNvPr id="954189" name="Check Box 2893" hidden="1">
              <a:extLst>
                <a:ext uri="{63B3BB69-23CF-44E3-9099-C40C66FF867C}">
                  <a14:compatExt spid="_x0000_s954189"/>
                </a:ext>
                <a:ext uri="{FF2B5EF4-FFF2-40B4-BE49-F238E27FC236}">
                  <a16:creationId xmlns:a16="http://schemas.microsoft.com/office/drawing/2014/main" id="{00000000-0008-0000-1200-00004D8F0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20</xdr:row>
          <xdr:rowOff>180975</xdr:rowOff>
        </xdr:from>
        <xdr:to>
          <xdr:col>19</xdr:col>
          <xdr:colOff>0</xdr:colOff>
          <xdr:row>22</xdr:row>
          <xdr:rowOff>38100</xdr:rowOff>
        </xdr:to>
        <xdr:sp macro="" textlink="">
          <xdr:nvSpPr>
            <xdr:cNvPr id="187402" name="Check Box 10" hidden="1">
              <a:extLst>
                <a:ext uri="{63B3BB69-23CF-44E3-9099-C40C66FF867C}">
                  <a14:compatExt spid="_x0000_s187402"/>
                </a:ext>
                <a:ext uri="{FF2B5EF4-FFF2-40B4-BE49-F238E27FC236}">
                  <a16:creationId xmlns:a16="http://schemas.microsoft.com/office/drawing/2014/main" id="{00000000-0008-0000-1400-00000A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76200</xdr:colOff>
      <xdr:row>0</xdr:row>
      <xdr:rowOff>0</xdr:rowOff>
    </xdr:from>
    <xdr:to>
      <xdr:col>3</xdr:col>
      <xdr:colOff>58750</xdr:colOff>
      <xdr:row>6</xdr:row>
      <xdr:rowOff>38100</xdr:rowOff>
    </xdr:to>
    <xdr:pic>
      <xdr:nvPicPr>
        <xdr:cNvPr id="867160" name="Obrázek 5">
          <a:extLst>
            <a:ext uri="{FF2B5EF4-FFF2-40B4-BE49-F238E27FC236}">
              <a16:creationId xmlns:a16="http://schemas.microsoft.com/office/drawing/2014/main" id="{128A6E6D-CC42-CA85-08B2-0927F095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15240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xdr:row>
          <xdr:rowOff>180975</xdr:rowOff>
        </xdr:from>
        <xdr:to>
          <xdr:col>0</xdr:col>
          <xdr:colOff>361950</xdr:colOff>
          <xdr:row>22</xdr:row>
          <xdr:rowOff>38100</xdr:rowOff>
        </xdr:to>
        <xdr:sp macro="" textlink="">
          <xdr:nvSpPr>
            <xdr:cNvPr id="2677761" name="Check Box 1" hidden="1">
              <a:extLst>
                <a:ext uri="{63B3BB69-23CF-44E3-9099-C40C66FF867C}">
                  <a14:compatExt spid="_x0000_s2677761"/>
                </a:ext>
                <a:ext uri="{FF2B5EF4-FFF2-40B4-BE49-F238E27FC236}">
                  <a16:creationId xmlns:a16="http://schemas.microsoft.com/office/drawing/2014/main" id="{00000000-0008-0000-1500-000001DC2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0</xdr:colOff>
          <xdr:row>1</xdr:row>
          <xdr:rowOff>0</xdr:rowOff>
        </xdr:to>
        <xdr:sp macro="" textlink="">
          <xdr:nvSpPr>
            <xdr:cNvPr id="190465" name="Check Box 1967" hidden="1">
              <a:extLst>
                <a:ext uri="{63B3BB69-23CF-44E3-9099-C40C66FF867C}">
                  <a14:compatExt spid="_x0000_s190465"/>
                </a:ext>
                <a:ext uri="{FF2B5EF4-FFF2-40B4-BE49-F238E27FC236}">
                  <a16:creationId xmlns:a16="http://schemas.microsoft.com/office/drawing/2014/main" id="{00000000-0008-0000-1600-000001E802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1</xdr:col>
      <xdr:colOff>9525</xdr:colOff>
      <xdr:row>92</xdr:row>
      <xdr:rowOff>209550</xdr:rowOff>
    </xdr:from>
    <xdr:to>
      <xdr:col>6</xdr:col>
      <xdr:colOff>0</xdr:colOff>
      <xdr:row>104</xdr:row>
      <xdr:rowOff>53340</xdr:rowOff>
    </xdr:to>
    <xdr:pic>
      <xdr:nvPicPr>
        <xdr:cNvPr id="947217" name="Obrázek 3">
          <a:extLst>
            <a:ext uri="{FF2B5EF4-FFF2-40B4-BE49-F238E27FC236}">
              <a16:creationId xmlns:a16="http://schemas.microsoft.com/office/drawing/2014/main" id="{B735A8A5-5985-650D-38FC-89453FF0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8935700"/>
          <a:ext cx="28479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93</xdr:row>
      <xdr:rowOff>0</xdr:rowOff>
    </xdr:from>
    <xdr:to>
      <xdr:col>10</xdr:col>
      <xdr:colOff>76200</xdr:colOff>
      <xdr:row>104</xdr:row>
      <xdr:rowOff>19050</xdr:rowOff>
    </xdr:to>
    <xdr:pic>
      <xdr:nvPicPr>
        <xdr:cNvPr id="947218" name="Obrázek 4">
          <a:extLst>
            <a:ext uri="{FF2B5EF4-FFF2-40B4-BE49-F238E27FC236}">
              <a16:creationId xmlns:a16="http://schemas.microsoft.com/office/drawing/2014/main" id="{1977AF1F-3ADD-980F-E051-C7FAF4925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0" y="18935700"/>
          <a:ext cx="23622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xdr:row>
      <xdr:rowOff>19050</xdr:rowOff>
    </xdr:from>
    <xdr:to>
      <xdr:col>4</xdr:col>
      <xdr:colOff>19050</xdr:colOff>
      <xdr:row>21</xdr:row>
      <xdr:rowOff>0</xdr:rowOff>
    </xdr:to>
    <xdr:pic>
      <xdr:nvPicPr>
        <xdr:cNvPr id="947220" name="Obrázek 10">
          <a:extLst>
            <a:ext uri="{FF2B5EF4-FFF2-40B4-BE49-F238E27FC236}">
              <a16:creationId xmlns:a16="http://schemas.microsoft.com/office/drawing/2014/main" id="{D74AC05C-AA50-029A-2820-FDABFA41A9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6401" r="21066"/>
        <a:stretch>
          <a:fillRect/>
        </a:stretch>
      </xdr:blipFill>
      <xdr:spPr bwMode="auto">
        <a:xfrm>
          <a:off x="590550" y="1905000"/>
          <a:ext cx="17145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38100</xdr:colOff>
      <xdr:row>9</xdr:row>
      <xdr:rowOff>28575</xdr:rowOff>
    </xdr:from>
    <xdr:to>
      <xdr:col>8</xdr:col>
      <xdr:colOff>0</xdr:colOff>
      <xdr:row>21</xdr:row>
      <xdr:rowOff>0</xdr:rowOff>
    </xdr:to>
    <xdr:pic>
      <xdr:nvPicPr>
        <xdr:cNvPr id="947221" name="Obrázek 11">
          <a:extLst>
            <a:ext uri="{FF2B5EF4-FFF2-40B4-BE49-F238E27FC236}">
              <a16:creationId xmlns:a16="http://schemas.microsoft.com/office/drawing/2014/main" id="{8FF632BA-4270-DC90-1AEC-A10DCEFD3A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066" r="20667"/>
        <a:stretch>
          <a:fillRect/>
        </a:stretch>
      </xdr:blipFill>
      <xdr:spPr bwMode="auto">
        <a:xfrm>
          <a:off x="2895600" y="1914525"/>
          <a:ext cx="1676400"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9</xdr:row>
      <xdr:rowOff>47625</xdr:rowOff>
    </xdr:from>
    <xdr:to>
      <xdr:col>12</xdr:col>
      <xdr:colOff>0</xdr:colOff>
      <xdr:row>21</xdr:row>
      <xdr:rowOff>0</xdr:rowOff>
    </xdr:to>
    <xdr:pic>
      <xdr:nvPicPr>
        <xdr:cNvPr id="947222" name="Obrázek 12">
          <a:extLst>
            <a:ext uri="{FF2B5EF4-FFF2-40B4-BE49-F238E27FC236}">
              <a16:creationId xmlns:a16="http://schemas.microsoft.com/office/drawing/2014/main" id="{36405552-1F68-A047-8980-5A65EC1260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8667" r="21333"/>
        <a:stretch>
          <a:fillRect/>
        </a:stretch>
      </xdr:blipFill>
      <xdr:spPr bwMode="auto">
        <a:xfrm>
          <a:off x="5181600" y="1933575"/>
          <a:ext cx="1676400"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402431</xdr:colOff>
      <xdr:row>53</xdr:row>
      <xdr:rowOff>140017</xdr:rowOff>
    </xdr:from>
    <xdr:to>
      <xdr:col>8</xdr:col>
      <xdr:colOff>284321</xdr:colOff>
      <xdr:row>65</xdr:row>
      <xdr:rowOff>132397</xdr:rowOff>
    </xdr:to>
    <xdr:pic>
      <xdr:nvPicPr>
        <xdr:cNvPr id="947224" name="Obrázek 21">
          <a:extLst>
            <a:ext uri="{FF2B5EF4-FFF2-40B4-BE49-F238E27FC236}">
              <a16:creationId xmlns:a16="http://schemas.microsoft.com/office/drawing/2014/main" id="{95D2B5ED-1C3D-B4D9-0998-22FC9DB6155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9951" r="10143"/>
        <a:stretch>
          <a:fillRect/>
        </a:stretch>
      </xdr:blipFill>
      <xdr:spPr bwMode="auto">
        <a:xfrm>
          <a:off x="2783681" y="10950892"/>
          <a:ext cx="2276475" cy="214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437197</xdr:colOff>
      <xdr:row>37</xdr:row>
      <xdr:rowOff>130036</xdr:rowOff>
    </xdr:from>
    <xdr:to>
      <xdr:col>11</xdr:col>
      <xdr:colOff>432434</xdr:colOff>
      <xdr:row>50</xdr:row>
      <xdr:rowOff>35718</xdr:rowOff>
    </xdr:to>
    <xdr:pic>
      <xdr:nvPicPr>
        <xdr:cNvPr id="947226" name="Obrázek 23">
          <a:extLst>
            <a:ext uri="{FF2B5EF4-FFF2-40B4-BE49-F238E27FC236}">
              <a16:creationId xmlns:a16="http://schemas.microsoft.com/office/drawing/2014/main" id="{80CBC96F-F6BC-6A74-A093-89D957C062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500" r="16701"/>
        <a:stretch>
          <a:fillRect/>
        </a:stretch>
      </xdr:blipFill>
      <xdr:spPr bwMode="auto">
        <a:xfrm>
          <a:off x="5199697" y="8035786"/>
          <a:ext cx="1777365" cy="222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53</xdr:row>
      <xdr:rowOff>133350</xdr:rowOff>
    </xdr:from>
    <xdr:to>
      <xdr:col>4</xdr:col>
      <xdr:colOff>57150</xdr:colOff>
      <xdr:row>65</xdr:row>
      <xdr:rowOff>133350</xdr:rowOff>
    </xdr:to>
    <xdr:pic>
      <xdr:nvPicPr>
        <xdr:cNvPr id="947228" name="Obrázek 28">
          <a:extLst>
            <a:ext uri="{FF2B5EF4-FFF2-40B4-BE49-F238E27FC236}">
              <a16:creationId xmlns:a16="http://schemas.microsoft.com/office/drawing/2014/main" id="{C897CE0E-B1D6-E674-6D19-34AA02EF334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0800" r="14101"/>
        <a:stretch>
          <a:fillRect/>
        </a:stretch>
      </xdr:blipFill>
      <xdr:spPr bwMode="auto">
        <a:xfrm>
          <a:off x="571500" y="11353800"/>
          <a:ext cx="1771650"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38</xdr:row>
      <xdr:rowOff>38100</xdr:rowOff>
    </xdr:from>
    <xdr:to>
      <xdr:col>3</xdr:col>
      <xdr:colOff>555307</xdr:colOff>
      <xdr:row>50</xdr:row>
      <xdr:rowOff>35719</xdr:rowOff>
    </xdr:to>
    <xdr:pic>
      <xdr:nvPicPr>
        <xdr:cNvPr id="947229" name="Obrázek 29">
          <a:extLst>
            <a:ext uri="{FF2B5EF4-FFF2-40B4-BE49-F238E27FC236}">
              <a16:creationId xmlns:a16="http://schemas.microsoft.com/office/drawing/2014/main" id="{26582693-C551-6FE8-2350-4E57DFACAE3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9100" r="22099"/>
        <a:stretch>
          <a:fillRect/>
        </a:stretch>
      </xdr:blipFill>
      <xdr:spPr bwMode="auto">
        <a:xfrm>
          <a:off x="623888" y="8122444"/>
          <a:ext cx="1709737"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376237</xdr:colOff>
      <xdr:row>38</xdr:row>
      <xdr:rowOff>30479</xdr:rowOff>
    </xdr:from>
    <xdr:to>
      <xdr:col>7</xdr:col>
      <xdr:colOff>438149</xdr:colOff>
      <xdr:row>50</xdr:row>
      <xdr:rowOff>22383</xdr:rowOff>
    </xdr:to>
    <xdr:pic>
      <xdr:nvPicPr>
        <xdr:cNvPr id="947230" name="Obrázek 30">
          <a:extLst>
            <a:ext uri="{FF2B5EF4-FFF2-40B4-BE49-F238E27FC236}">
              <a16:creationId xmlns:a16="http://schemas.microsoft.com/office/drawing/2014/main" id="{17FC1C4B-526E-D495-4CCF-FD0C7D9FCF0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25800" r="17500"/>
        <a:stretch>
          <a:fillRect/>
        </a:stretch>
      </xdr:blipFill>
      <xdr:spPr bwMode="auto">
        <a:xfrm>
          <a:off x="2757487" y="8114823"/>
          <a:ext cx="1855470"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40698</xdr:colOff>
      <xdr:row>9</xdr:row>
      <xdr:rowOff>83127</xdr:rowOff>
    </xdr:from>
    <xdr:to>
      <xdr:col>15</xdr:col>
      <xdr:colOff>126423</xdr:colOff>
      <xdr:row>20</xdr:row>
      <xdr:rowOff>64077</xdr:rowOff>
    </xdr:to>
    <xdr:pic>
      <xdr:nvPicPr>
        <xdr:cNvPr id="947235" name="Obrázek 8">
          <a:extLst>
            <a:ext uri="{FF2B5EF4-FFF2-40B4-BE49-F238E27FC236}">
              <a16:creationId xmlns:a16="http://schemas.microsoft.com/office/drawing/2014/main" id="{33E97A8C-9209-0025-0943-24D2857F0CC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5280" y="1925782"/>
          <a:ext cx="1249507" cy="2045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26</xdr:row>
      <xdr:rowOff>19050</xdr:rowOff>
    </xdr:from>
    <xdr:to>
      <xdr:col>4</xdr:col>
      <xdr:colOff>38100</xdr:colOff>
      <xdr:row>31</xdr:row>
      <xdr:rowOff>15240</xdr:rowOff>
    </xdr:to>
    <xdr:pic>
      <xdr:nvPicPr>
        <xdr:cNvPr id="947236" name="Obrázek 1">
          <a:extLst>
            <a:ext uri="{FF2B5EF4-FFF2-40B4-BE49-F238E27FC236}">
              <a16:creationId xmlns:a16="http://schemas.microsoft.com/office/drawing/2014/main" id="{C14C22CD-2C22-8E67-3BF8-D88B800B433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1025" y="5495925"/>
          <a:ext cx="1743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26</xdr:row>
      <xdr:rowOff>28575</xdr:rowOff>
    </xdr:from>
    <xdr:to>
      <xdr:col>8</xdr:col>
      <xdr:colOff>57150</xdr:colOff>
      <xdr:row>30</xdr:row>
      <xdr:rowOff>17145</xdr:rowOff>
    </xdr:to>
    <xdr:pic>
      <xdr:nvPicPr>
        <xdr:cNvPr id="947241" name="Obrázek 10">
          <a:extLst>
            <a:ext uri="{FF2B5EF4-FFF2-40B4-BE49-F238E27FC236}">
              <a16:creationId xmlns:a16="http://schemas.microsoft.com/office/drawing/2014/main" id="{8021F515-6F62-1AB0-AAB0-8AB1A151580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86075" y="5505450"/>
          <a:ext cx="1743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388620</xdr:colOff>
      <xdr:row>0</xdr:row>
      <xdr:rowOff>175260</xdr:rowOff>
    </xdr:from>
    <xdr:to>
      <xdr:col>5</xdr:col>
      <xdr:colOff>18540</xdr:colOff>
      <xdr:row>3</xdr:row>
      <xdr:rowOff>15240</xdr:rowOff>
    </xdr:to>
    <xdr:pic>
      <xdr:nvPicPr>
        <xdr:cNvPr id="3" name="Obrázek 2">
          <a:extLst>
            <a:ext uri="{FF2B5EF4-FFF2-40B4-BE49-F238E27FC236}">
              <a16:creationId xmlns:a16="http://schemas.microsoft.com/office/drawing/2014/main" id="{6B84E7FF-531C-4C4C-B991-CF6149ECD1F1}"/>
            </a:ext>
          </a:extLst>
        </xdr:cNvPr>
        <xdr:cNvPicPr>
          <a:picLocks noChangeAspect="1"/>
        </xdr:cNvPicPr>
      </xdr:nvPicPr>
      <xdr:blipFill>
        <a:blip xmlns:r="http://schemas.openxmlformats.org/officeDocument/2006/relationships" r:embed="rId14"/>
        <a:stretch>
          <a:fillRect/>
        </a:stretch>
      </xdr:blipFill>
      <xdr:spPr>
        <a:xfrm>
          <a:off x="388620" y="175260"/>
          <a:ext cx="2578860" cy="541020"/>
        </a:xfrm>
        <a:prstGeom prst="rect">
          <a:avLst/>
        </a:prstGeom>
      </xdr:spPr>
    </xdr:pic>
    <xdr:clientData/>
  </xdr:twoCellAnchor>
  <xdr:twoCellAnchor editAs="oneCell">
    <xdr:from>
      <xdr:col>0</xdr:col>
      <xdr:colOff>486252</xdr:colOff>
      <xdr:row>72</xdr:row>
      <xdr:rowOff>69533</xdr:rowOff>
    </xdr:from>
    <xdr:to>
      <xdr:col>4</xdr:col>
      <xdr:colOff>513260</xdr:colOff>
      <xdr:row>89</xdr:row>
      <xdr:rowOff>133307</xdr:rowOff>
    </xdr:to>
    <xdr:pic>
      <xdr:nvPicPr>
        <xdr:cNvPr id="7" name="Obrázek 6">
          <a:extLst>
            <a:ext uri="{FF2B5EF4-FFF2-40B4-BE49-F238E27FC236}">
              <a16:creationId xmlns:a16="http://schemas.microsoft.com/office/drawing/2014/main" id="{DC48F3B7-833B-EF58-CFF6-9A09C075B368}"/>
            </a:ext>
          </a:extLst>
        </xdr:cNvPr>
        <xdr:cNvPicPr>
          <a:picLocks noChangeAspect="1"/>
        </xdr:cNvPicPr>
      </xdr:nvPicPr>
      <xdr:blipFill>
        <a:blip xmlns:r="http://schemas.openxmlformats.org/officeDocument/2006/relationships" r:embed="rId15"/>
        <a:stretch>
          <a:fillRect/>
        </a:stretch>
      </xdr:blipFill>
      <xdr:spPr>
        <a:xfrm>
          <a:off x="486252" y="14321314"/>
          <a:ext cx="2419688" cy="3099868"/>
        </a:xfrm>
        <a:prstGeom prst="rect">
          <a:avLst/>
        </a:prstGeom>
      </xdr:spPr>
    </xdr:pic>
    <xdr:clientData/>
  </xdr:twoCellAnchor>
  <xdr:twoCellAnchor editAs="oneCell">
    <xdr:from>
      <xdr:col>20</xdr:col>
      <xdr:colOff>408731</xdr:colOff>
      <xdr:row>71</xdr:row>
      <xdr:rowOff>24290</xdr:rowOff>
    </xdr:from>
    <xdr:to>
      <xdr:col>31</xdr:col>
      <xdr:colOff>512618</xdr:colOff>
      <xdr:row>101</xdr:row>
      <xdr:rowOff>142790</xdr:rowOff>
    </xdr:to>
    <xdr:pic>
      <xdr:nvPicPr>
        <xdr:cNvPr id="2" name="Obrázek 1">
          <a:extLst>
            <a:ext uri="{FF2B5EF4-FFF2-40B4-BE49-F238E27FC236}">
              <a16:creationId xmlns:a16="http://schemas.microsoft.com/office/drawing/2014/main" id="{45FD4570-6E4A-435C-9E01-4C8DE85DE503}"/>
            </a:ext>
          </a:extLst>
        </xdr:cNvPr>
        <xdr:cNvPicPr>
          <a:picLocks noChangeAspect="1"/>
        </xdr:cNvPicPr>
      </xdr:nvPicPr>
      <xdr:blipFill>
        <a:blip xmlns:r="http://schemas.openxmlformats.org/officeDocument/2006/relationships" r:embed="rId16"/>
        <a:stretch>
          <a:fillRect/>
        </a:stretch>
      </xdr:blipFill>
      <xdr:spPr>
        <a:xfrm>
          <a:off x="12046549" y="14155926"/>
          <a:ext cx="6629378" cy="5632609"/>
        </a:xfrm>
        <a:prstGeom prst="rect">
          <a:avLst/>
        </a:prstGeom>
      </xdr:spPr>
    </xdr:pic>
    <xdr:clientData/>
  </xdr:twoCellAnchor>
  <xdr:twoCellAnchor editAs="oneCell">
    <xdr:from>
      <xdr:col>20</xdr:col>
      <xdr:colOff>341538</xdr:colOff>
      <xdr:row>8</xdr:row>
      <xdr:rowOff>140835</xdr:rowOff>
    </xdr:from>
    <xdr:to>
      <xdr:col>32</xdr:col>
      <xdr:colOff>0</xdr:colOff>
      <xdr:row>50</xdr:row>
      <xdr:rowOff>145287</xdr:rowOff>
    </xdr:to>
    <xdr:pic>
      <xdr:nvPicPr>
        <xdr:cNvPr id="8" name="Obrázek 7">
          <a:extLst>
            <a:ext uri="{FF2B5EF4-FFF2-40B4-BE49-F238E27FC236}">
              <a16:creationId xmlns:a16="http://schemas.microsoft.com/office/drawing/2014/main" id="{1C8B0EFB-C268-440B-DA00-12D95C974F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771538" y="1855335"/>
          <a:ext cx="6706962" cy="8910327"/>
        </a:xfrm>
        <a:prstGeom prst="rect">
          <a:avLst/>
        </a:prstGeom>
      </xdr:spPr>
    </xdr:pic>
    <xdr:clientData/>
  </xdr:twoCellAnchor>
  <xdr:twoCellAnchor editAs="oneCell">
    <xdr:from>
      <xdr:col>9</xdr:col>
      <xdr:colOff>88901</xdr:colOff>
      <xdr:row>25</xdr:row>
      <xdr:rowOff>173578</xdr:rowOff>
    </xdr:from>
    <xdr:to>
      <xdr:col>11</xdr:col>
      <xdr:colOff>457200</xdr:colOff>
      <xdr:row>30</xdr:row>
      <xdr:rowOff>238072</xdr:rowOff>
    </xdr:to>
    <xdr:pic>
      <xdr:nvPicPr>
        <xdr:cNvPr id="5" name="Obrázek 4">
          <a:extLst>
            <a:ext uri="{FF2B5EF4-FFF2-40B4-BE49-F238E27FC236}">
              <a16:creationId xmlns:a16="http://schemas.microsoft.com/office/drawing/2014/main" id="{DE406354-2FB2-D063-03E2-BAB12A7ECD2B}"/>
            </a:ext>
          </a:extLst>
        </xdr:cNvPr>
        <xdr:cNvPicPr>
          <a:picLocks noChangeAspect="1"/>
        </xdr:cNvPicPr>
      </xdr:nvPicPr>
      <xdr:blipFill>
        <a:blip xmlns:r="http://schemas.openxmlformats.org/officeDocument/2006/relationships" r:embed="rId18"/>
        <a:stretch>
          <a:fillRect/>
        </a:stretch>
      </xdr:blipFill>
      <xdr:spPr>
        <a:xfrm>
          <a:off x="5346701" y="5190078"/>
          <a:ext cx="1536699" cy="1397994"/>
        </a:xfrm>
        <a:prstGeom prst="rect">
          <a:avLst/>
        </a:prstGeom>
      </xdr:spPr>
    </xdr:pic>
    <xdr:clientData/>
  </xdr:twoCellAnchor>
  <xdr:twoCellAnchor editAs="oneCell">
    <xdr:from>
      <xdr:col>28</xdr:col>
      <xdr:colOff>468538</xdr:colOff>
      <xdr:row>43</xdr:row>
      <xdr:rowOff>39701</xdr:rowOff>
    </xdr:from>
    <xdr:to>
      <xdr:col>30</xdr:col>
      <xdr:colOff>482600</xdr:colOff>
      <xdr:row>50</xdr:row>
      <xdr:rowOff>122074</xdr:rowOff>
    </xdr:to>
    <xdr:pic>
      <xdr:nvPicPr>
        <xdr:cNvPr id="9" name="Obrázek 8">
          <a:extLst>
            <a:ext uri="{FF2B5EF4-FFF2-40B4-BE49-F238E27FC236}">
              <a16:creationId xmlns:a16="http://schemas.microsoft.com/office/drawing/2014/main" id="{405F3BB1-A8E9-30DA-C127-AA5D9A93F05A}"/>
            </a:ext>
          </a:extLst>
        </xdr:cNvPr>
        <xdr:cNvPicPr>
          <a:picLocks noChangeAspect="1"/>
        </xdr:cNvPicPr>
      </xdr:nvPicPr>
      <xdr:blipFill>
        <a:blip xmlns:r="http://schemas.openxmlformats.org/officeDocument/2006/relationships" r:embed="rId19"/>
        <a:stretch>
          <a:fillRect/>
        </a:stretch>
      </xdr:blipFill>
      <xdr:spPr>
        <a:xfrm>
          <a:off x="16826138" y="9044001"/>
          <a:ext cx="1258662" cy="1326973"/>
        </a:xfrm>
        <a:prstGeom prst="rect">
          <a:avLst/>
        </a:prstGeom>
      </xdr:spPr>
    </xdr:pic>
    <xdr:clientData/>
  </xdr:twoCellAnchor>
  <xdr:twoCellAnchor editAs="oneCell">
    <xdr:from>
      <xdr:col>28</xdr:col>
      <xdr:colOff>252638</xdr:colOff>
      <xdr:row>40</xdr:row>
      <xdr:rowOff>77336</xdr:rowOff>
    </xdr:from>
    <xdr:to>
      <xdr:col>30</xdr:col>
      <xdr:colOff>482600</xdr:colOff>
      <xdr:row>42</xdr:row>
      <xdr:rowOff>51490</xdr:rowOff>
    </xdr:to>
    <xdr:pic>
      <xdr:nvPicPr>
        <xdr:cNvPr id="10" name="Obrázek 9">
          <a:extLst>
            <a:ext uri="{FF2B5EF4-FFF2-40B4-BE49-F238E27FC236}">
              <a16:creationId xmlns:a16="http://schemas.microsoft.com/office/drawing/2014/main" id="{03518319-C39B-FA32-DE9E-F2AC104333D1}"/>
            </a:ext>
          </a:extLst>
        </xdr:cNvPr>
        <xdr:cNvPicPr>
          <a:picLocks noChangeAspect="1"/>
        </xdr:cNvPicPr>
      </xdr:nvPicPr>
      <xdr:blipFill>
        <a:blip xmlns:r="http://schemas.openxmlformats.org/officeDocument/2006/relationships" r:embed="rId20"/>
        <a:stretch>
          <a:fillRect/>
        </a:stretch>
      </xdr:blipFill>
      <xdr:spPr>
        <a:xfrm>
          <a:off x="16610238" y="8548236"/>
          <a:ext cx="1474562" cy="329754"/>
        </a:xfrm>
        <a:prstGeom prst="rect">
          <a:avLst/>
        </a:prstGeom>
      </xdr:spPr>
    </xdr:pic>
    <xdr:clientData/>
  </xdr:twoCellAnchor>
  <xdr:twoCellAnchor editAs="oneCell">
    <xdr:from>
      <xdr:col>12</xdr:col>
      <xdr:colOff>512618</xdr:colOff>
      <xdr:row>26</xdr:row>
      <xdr:rowOff>96982</xdr:rowOff>
    </xdr:from>
    <xdr:to>
      <xdr:col>15</xdr:col>
      <xdr:colOff>134945</xdr:colOff>
      <xdr:row>31</xdr:row>
      <xdr:rowOff>148800</xdr:rowOff>
    </xdr:to>
    <xdr:pic>
      <xdr:nvPicPr>
        <xdr:cNvPr id="4" name="Obrázek 3">
          <a:extLst>
            <a:ext uri="{FF2B5EF4-FFF2-40B4-BE49-F238E27FC236}">
              <a16:creationId xmlns:a16="http://schemas.microsoft.com/office/drawing/2014/main" id="{19781C54-2323-15A9-4745-1933C931100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95309" y="5417127"/>
          <a:ext cx="1368000" cy="136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568038</xdr:colOff>
      <xdr:row>54</xdr:row>
      <xdr:rowOff>13855</xdr:rowOff>
    </xdr:from>
    <xdr:to>
      <xdr:col>24</xdr:col>
      <xdr:colOff>8467</xdr:colOff>
      <xdr:row>62</xdr:row>
      <xdr:rowOff>20907</xdr:rowOff>
    </xdr:to>
    <xdr:pic>
      <xdr:nvPicPr>
        <xdr:cNvPr id="6" name="Obrázek 5">
          <a:extLst>
            <a:ext uri="{FF2B5EF4-FFF2-40B4-BE49-F238E27FC236}">
              <a16:creationId xmlns:a16="http://schemas.microsoft.com/office/drawing/2014/main" id="{52F73AF3-57EA-177D-1DE3-282999B9B4A9}"/>
            </a:ext>
          </a:extLst>
        </xdr:cNvPr>
        <xdr:cNvPicPr>
          <a:picLocks noChangeAspect="1"/>
        </xdr:cNvPicPr>
      </xdr:nvPicPr>
      <xdr:blipFill>
        <a:blip xmlns:r="http://schemas.openxmlformats.org/officeDocument/2006/relationships" r:embed="rId22"/>
        <a:stretch>
          <a:fillRect/>
        </a:stretch>
      </xdr:blipFill>
      <xdr:spPr>
        <a:xfrm>
          <a:off x="12205856" y="11083637"/>
          <a:ext cx="1767993" cy="1447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937906" name="Obrázek 41">
              <a:extLst>
                <a:ext uri="{FF2B5EF4-FFF2-40B4-BE49-F238E27FC236}">
                  <a16:creationId xmlns:a16="http://schemas.microsoft.com/office/drawing/2014/main" id="{C879BDF9-A3F1-ED29-0669-492976D94079}"/>
                </a:ext>
              </a:extLst>
            </xdr:cNvPr>
            <xdr:cNvPicPr>
              <a:picLocks noChangeAspect="1" noChangeArrowheads="1"/>
              <a:extLst>
                <a:ext uri="{84589F7E-364E-4C9E-8A38-B11213B215E9}">
                  <a14:cameraTool cellRange="Ram_1!$B$7:$Q$33" spid="_x0000_s2715867"/>
                </a:ext>
              </a:extLst>
            </xdr:cNvPicPr>
          </xdr:nvPicPr>
          <xdr:blipFill>
            <a:blip xmlns:r="http://schemas.openxmlformats.org/officeDocument/2006/relationships" r:embed="rId1"/>
            <a:srcRect/>
            <a:stretch>
              <a:fillRect/>
            </a:stretch>
          </xdr:blipFill>
          <xdr:spPr bwMode="auto">
            <a:xfrm>
              <a:off x="2924175" y="2238375"/>
              <a:ext cx="4457700" cy="43148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937907" name="Obrázek 47">
              <a:extLst>
                <a:ext uri="{FF2B5EF4-FFF2-40B4-BE49-F238E27FC236}">
                  <a16:creationId xmlns:a16="http://schemas.microsoft.com/office/drawing/2014/main" id="{8333770D-FAB8-5F42-4EC6-AC820DE8D563}"/>
                </a:ext>
              </a:extLst>
            </xdr:cNvPr>
            <xdr:cNvPicPr>
              <a:picLocks noChangeAspect="1" noChangeArrowheads="1"/>
              <a:extLst>
                <a:ext uri="{84589F7E-364E-4C9E-8A38-B11213B215E9}">
                  <a14:cameraTool cellRange="Ram_1!$AA$6:$AR$30" spid="_x0000_s2715868"/>
                </a:ext>
              </a:extLst>
            </xdr:cNvPicPr>
          </xdr:nvPicPr>
          <xdr:blipFill>
            <a:blip xmlns:r="http://schemas.openxmlformats.org/officeDocument/2006/relationships" r:embed="rId2"/>
            <a:srcRect/>
            <a:stretch>
              <a:fillRect/>
            </a:stretch>
          </xdr:blipFill>
          <xdr:spPr bwMode="auto">
            <a:xfrm>
              <a:off x="7620000" y="2238375"/>
              <a:ext cx="4581525" cy="430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937908" name="Obrázek 14">
              <a:extLst>
                <a:ext uri="{FF2B5EF4-FFF2-40B4-BE49-F238E27FC236}">
                  <a16:creationId xmlns:a16="http://schemas.microsoft.com/office/drawing/2014/main" id="{47BA632F-920C-08FE-511B-0CD9CE379093}"/>
                </a:ext>
              </a:extLst>
            </xdr:cNvPr>
            <xdr:cNvPicPr>
              <a:picLocks noChangeAspect="1" noChangeArrowheads="1"/>
              <a:extLst>
                <a:ext uri="{84589F7E-364E-4C9E-8A38-B11213B215E9}">
                  <a14:cameraTool cellRange="Ram_1!$S$24:$Y$32" spid="_x0000_s2715869"/>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937909" name="Obrázek 30">
              <a:extLst>
                <a:ext uri="{FF2B5EF4-FFF2-40B4-BE49-F238E27FC236}">
                  <a16:creationId xmlns:a16="http://schemas.microsoft.com/office/drawing/2014/main" id="{55E77925-30B5-0C29-119F-017F3A5CE2A3}"/>
                </a:ext>
              </a:extLst>
            </xdr:cNvPr>
            <xdr:cNvPicPr>
              <a:picLocks noChangeAspect="1" noChangeArrowheads="1"/>
              <a:extLst>
                <a:ext uri="{84589F7E-364E-4C9E-8A38-B11213B215E9}">
                  <a14:cameraTool cellRange="Ram_2!$B$7:$Q$33" spid="_x0000_s2715870"/>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937910" name="Obrázek 31">
              <a:extLst>
                <a:ext uri="{FF2B5EF4-FFF2-40B4-BE49-F238E27FC236}">
                  <a16:creationId xmlns:a16="http://schemas.microsoft.com/office/drawing/2014/main" id="{F85550DE-EF4B-5542-F41F-2E405ADCB63E}"/>
                </a:ext>
              </a:extLst>
            </xdr:cNvPr>
            <xdr:cNvPicPr>
              <a:picLocks noChangeAspect="1" noChangeArrowheads="1"/>
              <a:extLst>
                <a:ext uri="{84589F7E-364E-4C9E-8A38-B11213B215E9}">
                  <a14:cameraTool cellRange="Ram_2!$AA$6:$AR$30" spid="_x0000_s2715871"/>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937911" name="Obrázek 32">
              <a:extLst>
                <a:ext uri="{FF2B5EF4-FFF2-40B4-BE49-F238E27FC236}">
                  <a16:creationId xmlns:a16="http://schemas.microsoft.com/office/drawing/2014/main" id="{0EAF4D3E-66DE-4E03-D3B3-F03C4FC7D874}"/>
                </a:ext>
              </a:extLst>
            </xdr:cNvPr>
            <xdr:cNvPicPr>
              <a:picLocks noChangeArrowheads="1"/>
              <a:extLst>
                <a:ext uri="{84589F7E-364E-4C9E-8A38-B11213B215E9}">
                  <a14:cameraTool cellRange="Ram_2!$S$24:$Y$32" spid="_x0000_s2715872"/>
                </a:ext>
              </a:extLst>
            </xdr:cNvPicPr>
          </xdr:nvPicPr>
          <xdr:blipFill>
            <a:blip xmlns:r="http://schemas.openxmlformats.org/officeDocument/2006/relationships" r:embed="rId6"/>
            <a:srcRect/>
            <a:stretch>
              <a:fillRect/>
            </a:stretch>
          </xdr:blipFill>
          <xdr:spPr bwMode="auto">
            <a:xfrm>
              <a:off x="600075" y="78676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937912" name="Obrázek 33">
              <a:extLst>
                <a:ext uri="{FF2B5EF4-FFF2-40B4-BE49-F238E27FC236}">
                  <a16:creationId xmlns:a16="http://schemas.microsoft.com/office/drawing/2014/main" id="{9E462ACD-9183-7681-52A8-9245471DE7C5}"/>
                </a:ext>
              </a:extLst>
            </xdr:cNvPr>
            <xdr:cNvPicPr>
              <a:picLocks noChangeArrowheads="1"/>
              <a:extLst>
                <a:ext uri="{84589F7E-364E-4C9E-8A38-B11213B215E9}">
                  <a14:cameraTool cellRange="Ram_3!$B$7:$Q$33" spid="_x0000_s2715873"/>
                </a:ext>
              </a:extLst>
            </xdr:cNvPicPr>
          </xdr:nvPicPr>
          <xdr:blipFill>
            <a:blip xmlns:r="http://schemas.openxmlformats.org/officeDocument/2006/relationships" r:embed="rId7"/>
            <a:srcRect/>
            <a:stretch>
              <a:fillRect/>
            </a:stretch>
          </xdr:blipFill>
          <xdr:spPr bwMode="auto">
            <a:xfrm>
              <a:off x="2924175" y="122777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53340</xdr:rowOff>
        </xdr:to>
        <xdr:pic>
          <xdr:nvPicPr>
            <xdr:cNvPr id="937913" name="Obrázek 34">
              <a:extLst>
                <a:ext uri="{FF2B5EF4-FFF2-40B4-BE49-F238E27FC236}">
                  <a16:creationId xmlns:a16="http://schemas.microsoft.com/office/drawing/2014/main" id="{DC1E1D02-EDD5-113B-F35E-E08A903CCACA}"/>
                </a:ext>
              </a:extLst>
            </xdr:cNvPr>
            <xdr:cNvPicPr>
              <a:picLocks noChangeArrowheads="1"/>
              <a:extLst>
                <a:ext uri="{84589F7E-364E-4C9E-8A38-B11213B215E9}">
                  <a14:cameraTool cellRange="Ram_3!$AA$6:$AR$30" spid="_x0000_s2715874"/>
                </a:ext>
              </a:extLst>
            </xdr:cNvPicPr>
          </xdr:nvPicPr>
          <xdr:blipFill>
            <a:blip xmlns:r="http://schemas.openxmlformats.org/officeDocument/2006/relationships" r:embed="rId8"/>
            <a:srcRect/>
            <a:stretch>
              <a:fillRect/>
            </a:stretch>
          </xdr:blipFill>
          <xdr:spPr bwMode="auto">
            <a:xfrm>
              <a:off x="7620000" y="122777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937914" name="Obrázek 35">
              <a:extLst>
                <a:ext uri="{FF2B5EF4-FFF2-40B4-BE49-F238E27FC236}">
                  <a16:creationId xmlns:a16="http://schemas.microsoft.com/office/drawing/2014/main" id="{968FA851-9660-6552-225E-D82101A07D5F}"/>
                </a:ext>
              </a:extLst>
            </xdr:cNvPr>
            <xdr:cNvPicPr>
              <a:picLocks noChangeArrowheads="1"/>
              <a:extLst>
                <a:ext uri="{84589F7E-364E-4C9E-8A38-B11213B215E9}">
                  <a14:cameraTool cellRange="Ram_3!$S$24:$Y$32" spid="_x0000_s2715875"/>
                </a:ext>
              </a:extLst>
            </xdr:cNvPicPr>
          </xdr:nvPicPr>
          <xdr:blipFill>
            <a:blip xmlns:r="http://schemas.openxmlformats.org/officeDocument/2006/relationships" r:embed="rId6"/>
            <a:srcRect/>
            <a:stretch>
              <a:fillRect/>
            </a:stretch>
          </xdr:blipFill>
          <xdr:spPr bwMode="auto">
            <a:xfrm>
              <a:off x="600075" y="130111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937915" name="Obrázek 39">
              <a:extLst>
                <a:ext uri="{FF2B5EF4-FFF2-40B4-BE49-F238E27FC236}">
                  <a16:creationId xmlns:a16="http://schemas.microsoft.com/office/drawing/2014/main" id="{C0A0124D-5E6C-A670-2404-9AA142012F2A}"/>
                </a:ext>
              </a:extLst>
            </xdr:cNvPr>
            <xdr:cNvPicPr>
              <a:picLocks noChangeArrowheads="1"/>
              <a:extLst>
                <a:ext uri="{84589F7E-364E-4C9E-8A38-B11213B215E9}">
                  <a14:cameraTool cellRange="Ram_4!$B$7:$Q$33" spid="_x0000_s2715876"/>
                </a:ext>
              </a:extLst>
            </xdr:cNvPicPr>
          </xdr:nvPicPr>
          <xdr:blipFill>
            <a:blip xmlns:r="http://schemas.openxmlformats.org/officeDocument/2006/relationships" r:embed="rId9"/>
            <a:srcRect/>
            <a:stretch>
              <a:fillRect/>
            </a:stretch>
          </xdr:blipFill>
          <xdr:spPr bwMode="auto">
            <a:xfrm>
              <a:off x="2924175" y="1741170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53340</xdr:rowOff>
        </xdr:to>
        <xdr:pic>
          <xdr:nvPicPr>
            <xdr:cNvPr id="937916" name="Obrázek 40">
              <a:extLst>
                <a:ext uri="{FF2B5EF4-FFF2-40B4-BE49-F238E27FC236}">
                  <a16:creationId xmlns:a16="http://schemas.microsoft.com/office/drawing/2014/main" id="{84703BC2-DBDD-ACDF-9DE2-7993128B2A74}"/>
                </a:ext>
              </a:extLst>
            </xdr:cNvPr>
            <xdr:cNvPicPr>
              <a:picLocks noChangeArrowheads="1"/>
              <a:extLst>
                <a:ext uri="{84589F7E-364E-4C9E-8A38-B11213B215E9}">
                  <a14:cameraTool cellRange="Ram_4!$AA$6:$AR$30" spid="_x0000_s2715877"/>
                </a:ext>
              </a:extLst>
            </xdr:cNvPicPr>
          </xdr:nvPicPr>
          <xdr:blipFill>
            <a:blip xmlns:r="http://schemas.openxmlformats.org/officeDocument/2006/relationships" r:embed="rId10"/>
            <a:srcRect/>
            <a:stretch>
              <a:fillRect/>
            </a:stretch>
          </xdr:blipFill>
          <xdr:spPr bwMode="auto">
            <a:xfrm>
              <a:off x="7620000" y="1741170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937917" name="Obrázek 42">
              <a:extLst>
                <a:ext uri="{FF2B5EF4-FFF2-40B4-BE49-F238E27FC236}">
                  <a16:creationId xmlns:a16="http://schemas.microsoft.com/office/drawing/2014/main" id="{566C27F2-85BB-7E95-3BD0-BF9DB9A6B17E}"/>
                </a:ext>
              </a:extLst>
            </xdr:cNvPr>
            <xdr:cNvPicPr>
              <a:picLocks noChangeArrowheads="1"/>
              <a:extLst>
                <a:ext uri="{84589F7E-364E-4C9E-8A38-B11213B215E9}">
                  <a14:cameraTool cellRange="Ram_4!$S$24:$Y$32" spid="_x0000_s2715878"/>
                </a:ext>
              </a:extLst>
            </xdr:cNvPicPr>
          </xdr:nvPicPr>
          <xdr:blipFill>
            <a:blip xmlns:r="http://schemas.openxmlformats.org/officeDocument/2006/relationships" r:embed="rId6"/>
            <a:srcRect/>
            <a:stretch>
              <a:fillRect/>
            </a:stretch>
          </xdr:blipFill>
          <xdr:spPr bwMode="auto">
            <a:xfrm>
              <a:off x="600075" y="1810702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937918" name="Obrázek 43">
              <a:extLst>
                <a:ext uri="{FF2B5EF4-FFF2-40B4-BE49-F238E27FC236}">
                  <a16:creationId xmlns:a16="http://schemas.microsoft.com/office/drawing/2014/main" id="{20111BD9-1A57-46F3-B0D1-7D9ADD68C0A4}"/>
                </a:ext>
              </a:extLst>
            </xdr:cNvPr>
            <xdr:cNvPicPr>
              <a:picLocks noChangeArrowheads="1"/>
              <a:extLst>
                <a:ext uri="{84589F7E-364E-4C9E-8A38-B11213B215E9}">
                  <a14:cameraTool cellRange="Ram_5!$B$7:$Q$33" spid="_x0000_s2715879"/>
                </a:ext>
              </a:extLst>
            </xdr:cNvPicPr>
          </xdr:nvPicPr>
          <xdr:blipFill>
            <a:blip xmlns:r="http://schemas.openxmlformats.org/officeDocument/2006/relationships" r:embed="rId11"/>
            <a:srcRect/>
            <a:stretch>
              <a:fillRect/>
            </a:stretch>
          </xdr:blipFill>
          <xdr:spPr bwMode="auto">
            <a:xfrm>
              <a:off x="2924175" y="22298025"/>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53340</xdr:rowOff>
        </xdr:to>
        <xdr:pic>
          <xdr:nvPicPr>
            <xdr:cNvPr id="937919" name="Obrázek 44">
              <a:extLst>
                <a:ext uri="{FF2B5EF4-FFF2-40B4-BE49-F238E27FC236}">
                  <a16:creationId xmlns:a16="http://schemas.microsoft.com/office/drawing/2014/main" id="{3A1D0A64-C9AA-756A-9244-5ACD8874567B}"/>
                </a:ext>
              </a:extLst>
            </xdr:cNvPr>
            <xdr:cNvPicPr>
              <a:picLocks noChangeArrowheads="1"/>
              <a:extLst>
                <a:ext uri="{84589F7E-364E-4C9E-8A38-B11213B215E9}">
                  <a14:cameraTool cellRange="Ram_5!$AA$6:$AR$30" spid="_x0000_s2715880"/>
                </a:ext>
              </a:extLst>
            </xdr:cNvPicPr>
          </xdr:nvPicPr>
          <xdr:blipFill>
            <a:blip xmlns:r="http://schemas.openxmlformats.org/officeDocument/2006/relationships" r:embed="rId12"/>
            <a:srcRect/>
            <a:stretch>
              <a:fillRect/>
            </a:stretch>
          </xdr:blipFill>
          <xdr:spPr bwMode="auto">
            <a:xfrm>
              <a:off x="7620000" y="22298025"/>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937920" name="Obrázek 46">
              <a:extLst>
                <a:ext uri="{FF2B5EF4-FFF2-40B4-BE49-F238E27FC236}">
                  <a16:creationId xmlns:a16="http://schemas.microsoft.com/office/drawing/2014/main" id="{4A314CB6-ECAD-D215-BFE4-78CFDDD296B5}"/>
                </a:ext>
              </a:extLst>
            </xdr:cNvPr>
            <xdr:cNvPicPr>
              <a:picLocks noChangeArrowheads="1"/>
              <a:extLst>
                <a:ext uri="{84589F7E-364E-4C9E-8A38-B11213B215E9}">
                  <a14:cameraTool cellRange="Ram_5!$S$24:$Y$32" spid="_x0000_s2715881"/>
                </a:ext>
              </a:extLst>
            </xdr:cNvPicPr>
          </xdr:nvPicPr>
          <xdr:blipFill>
            <a:blip xmlns:r="http://schemas.openxmlformats.org/officeDocument/2006/relationships" r:embed="rId6"/>
            <a:srcRect/>
            <a:stretch>
              <a:fillRect/>
            </a:stretch>
          </xdr:blipFill>
          <xdr:spPr bwMode="auto">
            <a:xfrm>
              <a:off x="600075" y="2299335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937921" name="Obrázek 52">
              <a:extLst>
                <a:ext uri="{FF2B5EF4-FFF2-40B4-BE49-F238E27FC236}">
                  <a16:creationId xmlns:a16="http://schemas.microsoft.com/office/drawing/2014/main" id="{74372574-58A3-E04E-4F16-F53511120E53}"/>
                </a:ext>
              </a:extLst>
            </xdr:cNvPr>
            <xdr:cNvPicPr>
              <a:picLocks noChangeArrowheads="1"/>
              <a:extLst>
                <a:ext uri="{84589F7E-364E-4C9E-8A38-B11213B215E9}">
                  <a14:cameraTool cellRange="Ram_6!$B$7:$Q$33" spid="_x0000_s2715882"/>
                </a:ext>
              </a:extLst>
            </xdr:cNvPicPr>
          </xdr:nvPicPr>
          <xdr:blipFill>
            <a:blip xmlns:r="http://schemas.openxmlformats.org/officeDocument/2006/relationships" r:embed="rId13"/>
            <a:srcRect/>
            <a:stretch>
              <a:fillRect/>
            </a:stretch>
          </xdr:blipFill>
          <xdr:spPr bwMode="auto">
            <a:xfrm>
              <a:off x="2924175" y="2718435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53340</xdr:rowOff>
        </xdr:to>
        <xdr:pic>
          <xdr:nvPicPr>
            <xdr:cNvPr id="937922" name="Obrázek 58">
              <a:extLst>
                <a:ext uri="{FF2B5EF4-FFF2-40B4-BE49-F238E27FC236}">
                  <a16:creationId xmlns:a16="http://schemas.microsoft.com/office/drawing/2014/main" id="{860E6F57-EF40-641A-3217-4C9BAF0F1BFD}"/>
                </a:ext>
              </a:extLst>
            </xdr:cNvPr>
            <xdr:cNvPicPr>
              <a:picLocks noChangeArrowheads="1"/>
              <a:extLst>
                <a:ext uri="{84589F7E-364E-4C9E-8A38-B11213B215E9}">
                  <a14:cameraTool cellRange="Ram_6!$AA$6:$AR$30" spid="_x0000_s2715883"/>
                </a:ext>
              </a:extLst>
            </xdr:cNvPicPr>
          </xdr:nvPicPr>
          <xdr:blipFill>
            <a:blip xmlns:r="http://schemas.openxmlformats.org/officeDocument/2006/relationships" r:embed="rId14"/>
            <a:srcRect/>
            <a:stretch>
              <a:fillRect/>
            </a:stretch>
          </xdr:blipFill>
          <xdr:spPr bwMode="auto">
            <a:xfrm>
              <a:off x="7620000" y="2718435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937923" name="Obrázek 59">
              <a:extLst>
                <a:ext uri="{FF2B5EF4-FFF2-40B4-BE49-F238E27FC236}">
                  <a16:creationId xmlns:a16="http://schemas.microsoft.com/office/drawing/2014/main" id="{DF34685C-AD0B-ED88-54C7-3DC055EA0D03}"/>
                </a:ext>
              </a:extLst>
            </xdr:cNvPr>
            <xdr:cNvPicPr>
              <a:picLocks noChangeArrowheads="1"/>
              <a:extLst>
                <a:ext uri="{84589F7E-364E-4C9E-8A38-B11213B215E9}">
                  <a14:cameraTool cellRange="Ram_6!$S$24:$Y$32" spid="_x0000_s2715884"/>
                </a:ext>
              </a:extLst>
            </xdr:cNvPicPr>
          </xdr:nvPicPr>
          <xdr:blipFill>
            <a:blip xmlns:r="http://schemas.openxmlformats.org/officeDocument/2006/relationships" r:embed="rId6"/>
            <a:srcRect/>
            <a:stretch>
              <a:fillRect/>
            </a:stretch>
          </xdr:blipFill>
          <xdr:spPr bwMode="auto">
            <a:xfrm>
              <a:off x="600075" y="2787967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1035493" name="Obrázek 41">
              <a:extLst>
                <a:ext uri="{FF2B5EF4-FFF2-40B4-BE49-F238E27FC236}">
                  <a16:creationId xmlns:a16="http://schemas.microsoft.com/office/drawing/2014/main" id="{9920250D-B659-CAF5-DF1E-56E89042D1B1}"/>
                </a:ext>
              </a:extLst>
            </xdr:cNvPr>
            <xdr:cNvPicPr>
              <a:picLocks noChangeAspect="1" noChangeArrowheads="1"/>
              <a:extLst>
                <a:ext uri="{84589F7E-364E-4C9E-8A38-B11213B215E9}">
                  <a14:cameraTool cellRange="Ram_1!$B$7:$Q$33" spid="_x0000_s2715885"/>
                </a:ext>
              </a:extLst>
            </xdr:cNvPicPr>
          </xdr:nvPicPr>
          <xdr:blipFill>
            <a:blip xmlns:r="http://schemas.openxmlformats.org/officeDocument/2006/relationships" r:embed="rId15"/>
            <a:srcRect/>
            <a:stretch>
              <a:fillRect/>
            </a:stretch>
          </xdr:blipFill>
          <xdr:spPr bwMode="auto">
            <a:xfrm>
              <a:off x="2924175" y="22383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245745</xdr:colOff>
          <xdr:row>11</xdr:row>
          <xdr:rowOff>160020</xdr:rowOff>
        </xdr:from>
        <xdr:to>
          <xdr:col>40</xdr:col>
          <xdr:colOff>287655</xdr:colOff>
          <xdr:row>35</xdr:row>
          <xdr:rowOff>129540</xdr:rowOff>
        </xdr:to>
        <xdr:pic>
          <xdr:nvPicPr>
            <xdr:cNvPr id="1035494" name="Obrázek 47">
              <a:extLst>
                <a:ext uri="{FF2B5EF4-FFF2-40B4-BE49-F238E27FC236}">
                  <a16:creationId xmlns:a16="http://schemas.microsoft.com/office/drawing/2014/main" id="{9054EE54-DAFE-EBC0-058A-7CB944852F9C}"/>
                </a:ext>
              </a:extLst>
            </xdr:cNvPr>
            <xdr:cNvPicPr>
              <a:picLocks noChangeAspect="1" noChangeArrowheads="1"/>
              <a:extLst>
                <a:ext uri="{84589F7E-364E-4C9E-8A38-B11213B215E9}">
                  <a14:cameraTool cellRange="Ram_1!$AA$6:$AR$30" spid="_x0000_s2715886"/>
                </a:ext>
              </a:extLst>
            </xdr:cNvPicPr>
          </xdr:nvPicPr>
          <xdr:blipFill>
            <a:blip xmlns:r="http://schemas.openxmlformats.org/officeDocument/2006/relationships" r:embed="rId2"/>
            <a:srcRect/>
            <a:stretch>
              <a:fillRect/>
            </a:stretch>
          </xdr:blipFill>
          <xdr:spPr bwMode="auto">
            <a:xfrm>
              <a:off x="8162925" y="2186940"/>
              <a:ext cx="4726305" cy="434911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1035495" name="Obrázek 14">
              <a:extLst>
                <a:ext uri="{FF2B5EF4-FFF2-40B4-BE49-F238E27FC236}">
                  <a16:creationId xmlns:a16="http://schemas.microsoft.com/office/drawing/2014/main" id="{F661D120-8CC5-16DD-659B-9F94FBAE7628}"/>
                </a:ext>
              </a:extLst>
            </xdr:cNvPr>
            <xdr:cNvPicPr>
              <a:picLocks noChangeAspect="1" noChangeArrowheads="1"/>
              <a:extLst>
                <a:ext uri="{84589F7E-364E-4C9E-8A38-B11213B215E9}">
                  <a14:cameraTool cellRange="Ram_1!$S$24:$Y$32" spid="_x0000_s2715887"/>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1035496" name="Obrázek 30">
              <a:extLst>
                <a:ext uri="{FF2B5EF4-FFF2-40B4-BE49-F238E27FC236}">
                  <a16:creationId xmlns:a16="http://schemas.microsoft.com/office/drawing/2014/main" id="{C8F44051-C0E1-3F21-693E-67D3DF5B81A2}"/>
                </a:ext>
              </a:extLst>
            </xdr:cNvPr>
            <xdr:cNvPicPr>
              <a:picLocks noChangeAspect="1" noChangeArrowheads="1"/>
              <a:extLst>
                <a:ext uri="{84589F7E-364E-4C9E-8A38-B11213B215E9}">
                  <a14:cameraTool cellRange="Ram_2!$B$7:$Q$33" spid="_x0000_s2715888"/>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1035497" name="Obrázek 31">
              <a:extLst>
                <a:ext uri="{FF2B5EF4-FFF2-40B4-BE49-F238E27FC236}">
                  <a16:creationId xmlns:a16="http://schemas.microsoft.com/office/drawing/2014/main" id="{39B24402-4BFC-D16E-B872-ABE4DC209B52}"/>
                </a:ext>
              </a:extLst>
            </xdr:cNvPr>
            <xdr:cNvPicPr>
              <a:picLocks noChangeAspect="1" noChangeArrowheads="1"/>
              <a:extLst>
                <a:ext uri="{84589F7E-364E-4C9E-8A38-B11213B215E9}">
                  <a14:cameraTool cellRange="Ram_2!$AA$6:$AR$30" spid="_x0000_s2715889"/>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43815</xdr:colOff>
      <xdr:row>0</xdr:row>
      <xdr:rowOff>139065</xdr:rowOff>
    </xdr:from>
    <xdr:to>
      <xdr:col>8</xdr:col>
      <xdr:colOff>87819</xdr:colOff>
      <xdr:row>3</xdr:row>
      <xdr:rowOff>47665</xdr:rowOff>
    </xdr:to>
    <xdr:pic>
      <xdr:nvPicPr>
        <xdr:cNvPr id="3" name="Obrázek 2">
          <a:extLst>
            <a:ext uri="{FF2B5EF4-FFF2-40B4-BE49-F238E27FC236}">
              <a16:creationId xmlns:a16="http://schemas.microsoft.com/office/drawing/2014/main" id="{7A95043E-C63A-9BAD-A3C0-3E74AF6B89CD}"/>
            </a:ext>
          </a:extLst>
        </xdr:cNvPr>
        <xdr:cNvPicPr>
          <a:picLocks noChangeAspect="1"/>
        </xdr:cNvPicPr>
      </xdr:nvPicPr>
      <xdr:blipFill>
        <a:blip xmlns:r="http://schemas.openxmlformats.org/officeDocument/2006/relationships" r:embed="rId16"/>
        <a:stretch>
          <a:fillRect/>
        </a:stretch>
      </xdr:blipFill>
      <xdr:spPr>
        <a:xfrm>
          <a:off x="348615" y="139065"/>
          <a:ext cx="2177604" cy="451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70" name="Obrázek 41">
              <a:extLst>
                <a:ext uri="{FF2B5EF4-FFF2-40B4-BE49-F238E27FC236}">
                  <a16:creationId xmlns:a16="http://schemas.microsoft.com/office/drawing/2014/main" id="{24FA8C11-205F-721B-E329-FC2E17D5AC1C}"/>
                </a:ext>
              </a:extLst>
            </xdr:cNvPr>
            <xdr:cNvPicPr>
              <a:picLocks noChangeAspect="1" noChangeArrowheads="1"/>
              <a:extLst>
                <a:ext uri="{84589F7E-364E-4C9E-8A38-B11213B215E9}">
                  <a14:cameraTool cellRange="Ram_1!$B$7:$Q$33" spid="_x0000_s2715890"/>
                </a:ext>
              </a:extLst>
            </xdr:cNvPicPr>
          </xdr:nvPicPr>
          <xdr:blipFill>
            <a:blip xmlns:r="http://schemas.openxmlformats.org/officeDocument/2006/relationships" r:embed="rId15"/>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2305471" name="Obrázek 47">
              <a:extLst>
                <a:ext uri="{FF2B5EF4-FFF2-40B4-BE49-F238E27FC236}">
                  <a16:creationId xmlns:a16="http://schemas.microsoft.com/office/drawing/2014/main" id="{9AECAAB7-CC07-179D-CEFB-F0630B99FBB3}"/>
                </a:ext>
              </a:extLst>
            </xdr:cNvPr>
            <xdr:cNvPicPr>
              <a:picLocks noChangeAspect="1" noChangeArrowheads="1"/>
              <a:extLst>
                <a:ext uri="{84589F7E-364E-4C9E-8A38-B11213B215E9}">
                  <a14:cameraTool cellRange="Ram_1!$AA$6:$AR$30" spid="_x0000_s2715891"/>
                </a:ext>
              </a:extLst>
            </xdr:cNvPicPr>
          </xdr:nvPicPr>
          <xdr:blipFill>
            <a:blip xmlns:r="http://schemas.openxmlformats.org/officeDocument/2006/relationships" r:embed="rId17"/>
            <a:srcRect/>
            <a:stretch>
              <a:fillRect/>
            </a:stretch>
          </xdr:blipFill>
          <xdr:spPr bwMode="auto">
            <a:xfrm>
              <a:off x="7924800" y="2200275"/>
              <a:ext cx="4581525"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72" name="Obrázek 14">
              <a:extLst>
                <a:ext uri="{FF2B5EF4-FFF2-40B4-BE49-F238E27FC236}">
                  <a16:creationId xmlns:a16="http://schemas.microsoft.com/office/drawing/2014/main" id="{A8D8A257-02CD-0488-E146-0B283AB8257E}"/>
                </a:ext>
              </a:extLst>
            </xdr:cNvPr>
            <xdr:cNvPicPr>
              <a:picLocks noChangeAspect="1" noChangeArrowheads="1"/>
              <a:extLst>
                <a:ext uri="{84589F7E-364E-4C9E-8A38-B11213B215E9}">
                  <a14:cameraTool cellRange="Ram_1!$S$24:$Y$32" spid="_x0000_s2715892"/>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73" name="Obrázek 30">
              <a:extLst>
                <a:ext uri="{FF2B5EF4-FFF2-40B4-BE49-F238E27FC236}">
                  <a16:creationId xmlns:a16="http://schemas.microsoft.com/office/drawing/2014/main" id="{2B60BE1D-8032-8D16-FF89-6A929B53910E}"/>
                </a:ext>
              </a:extLst>
            </xdr:cNvPr>
            <xdr:cNvPicPr>
              <a:picLocks noChangeAspect="1" noChangeArrowheads="1"/>
              <a:extLst>
                <a:ext uri="{84589F7E-364E-4C9E-8A38-B11213B215E9}">
                  <a14:cameraTool cellRange="Ram_2!$B$7:$Q$33" spid="_x0000_s2715893"/>
                </a:ext>
              </a:extLst>
            </xdr:cNvPicPr>
          </xdr:nvPicPr>
          <xdr:blipFill>
            <a:blip xmlns:r="http://schemas.openxmlformats.org/officeDocument/2006/relationships" r:embed="rId18"/>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74" name="Obrázek 31">
              <a:extLst>
                <a:ext uri="{FF2B5EF4-FFF2-40B4-BE49-F238E27FC236}">
                  <a16:creationId xmlns:a16="http://schemas.microsoft.com/office/drawing/2014/main" id="{E25508AB-EEF9-D1F2-2C0E-22611448B013}"/>
                </a:ext>
              </a:extLst>
            </xdr:cNvPr>
            <xdr:cNvPicPr>
              <a:picLocks noChangeAspect="1" noChangeArrowheads="1"/>
              <a:extLst>
                <a:ext uri="{84589F7E-364E-4C9E-8A38-B11213B215E9}">
                  <a14:cameraTool cellRange="Ram_2!$AA$6:$AR$30" spid="_x0000_s2715894"/>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2305475" name="Obrázek 32">
              <a:extLst>
                <a:ext uri="{FF2B5EF4-FFF2-40B4-BE49-F238E27FC236}">
                  <a16:creationId xmlns:a16="http://schemas.microsoft.com/office/drawing/2014/main" id="{F8C9684E-CAD9-DD3C-7A29-B6D5B36EFF02}"/>
                </a:ext>
              </a:extLst>
            </xdr:cNvPr>
            <xdr:cNvPicPr>
              <a:picLocks noChangeArrowheads="1"/>
              <a:extLst>
                <a:ext uri="{84589F7E-364E-4C9E-8A38-B11213B215E9}">
                  <a14:cameraTool cellRange="Ram_2!$S$24:$Y$32" spid="_x0000_s2715895"/>
                </a:ext>
              </a:extLst>
            </xdr:cNvPicPr>
          </xdr:nvPicPr>
          <xdr:blipFill>
            <a:blip xmlns:r="http://schemas.openxmlformats.org/officeDocument/2006/relationships" r:embed="rId6"/>
            <a:srcRect/>
            <a:stretch>
              <a:fillRect/>
            </a:stretch>
          </xdr:blipFill>
          <xdr:spPr bwMode="auto">
            <a:xfrm>
              <a:off x="600075" y="78295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2305476" name="Obrázek 33">
              <a:extLst>
                <a:ext uri="{FF2B5EF4-FFF2-40B4-BE49-F238E27FC236}">
                  <a16:creationId xmlns:a16="http://schemas.microsoft.com/office/drawing/2014/main" id="{19F52558-E7D3-C648-D10A-D3592E1AB9D0}"/>
                </a:ext>
              </a:extLst>
            </xdr:cNvPr>
            <xdr:cNvPicPr>
              <a:picLocks noChangeArrowheads="1"/>
              <a:extLst>
                <a:ext uri="{84589F7E-364E-4C9E-8A38-B11213B215E9}">
                  <a14:cameraTool cellRange="Ram_3!$B$7:$Q$33" spid="_x0000_s2715896"/>
                </a:ext>
              </a:extLst>
            </xdr:cNvPicPr>
          </xdr:nvPicPr>
          <xdr:blipFill>
            <a:blip xmlns:r="http://schemas.openxmlformats.org/officeDocument/2006/relationships" r:embed="rId7"/>
            <a:srcRect/>
            <a:stretch>
              <a:fillRect/>
            </a:stretch>
          </xdr:blipFill>
          <xdr:spPr bwMode="auto">
            <a:xfrm>
              <a:off x="2924175" y="122396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57150</xdr:rowOff>
        </xdr:to>
        <xdr:pic>
          <xdr:nvPicPr>
            <xdr:cNvPr id="2305477" name="Obrázek 34">
              <a:extLst>
                <a:ext uri="{FF2B5EF4-FFF2-40B4-BE49-F238E27FC236}">
                  <a16:creationId xmlns:a16="http://schemas.microsoft.com/office/drawing/2014/main" id="{254AB047-E142-A7C5-6742-87DC2495B995}"/>
                </a:ext>
              </a:extLst>
            </xdr:cNvPr>
            <xdr:cNvPicPr>
              <a:picLocks noChangeArrowheads="1"/>
              <a:extLst>
                <a:ext uri="{84589F7E-364E-4C9E-8A38-B11213B215E9}">
                  <a14:cameraTool cellRange="Ram_3!$AA$6:$AR$30" spid="_x0000_s2715897"/>
                </a:ext>
              </a:extLst>
            </xdr:cNvPicPr>
          </xdr:nvPicPr>
          <xdr:blipFill>
            <a:blip xmlns:r="http://schemas.openxmlformats.org/officeDocument/2006/relationships" r:embed="rId8"/>
            <a:srcRect/>
            <a:stretch>
              <a:fillRect/>
            </a:stretch>
          </xdr:blipFill>
          <xdr:spPr bwMode="auto">
            <a:xfrm>
              <a:off x="7924800" y="122396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2305478" name="Obrázek 35">
              <a:extLst>
                <a:ext uri="{FF2B5EF4-FFF2-40B4-BE49-F238E27FC236}">
                  <a16:creationId xmlns:a16="http://schemas.microsoft.com/office/drawing/2014/main" id="{6AE66702-DD75-189D-B793-27DF6FB5DCDC}"/>
                </a:ext>
              </a:extLst>
            </xdr:cNvPr>
            <xdr:cNvPicPr>
              <a:picLocks noChangeArrowheads="1"/>
              <a:extLst>
                <a:ext uri="{84589F7E-364E-4C9E-8A38-B11213B215E9}">
                  <a14:cameraTool cellRange="Ram_3!$S$24:$Y$32" spid="_x0000_s2715898"/>
                </a:ext>
              </a:extLst>
            </xdr:cNvPicPr>
          </xdr:nvPicPr>
          <xdr:blipFill>
            <a:blip xmlns:r="http://schemas.openxmlformats.org/officeDocument/2006/relationships" r:embed="rId6"/>
            <a:srcRect/>
            <a:stretch>
              <a:fillRect/>
            </a:stretch>
          </xdr:blipFill>
          <xdr:spPr bwMode="auto">
            <a:xfrm>
              <a:off x="600075" y="129730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2305479" name="Obrázek 39">
              <a:extLst>
                <a:ext uri="{FF2B5EF4-FFF2-40B4-BE49-F238E27FC236}">
                  <a16:creationId xmlns:a16="http://schemas.microsoft.com/office/drawing/2014/main" id="{0730846A-6E4F-D564-3087-ADF131F86B61}"/>
                </a:ext>
              </a:extLst>
            </xdr:cNvPr>
            <xdr:cNvPicPr>
              <a:picLocks noChangeArrowheads="1"/>
              <a:extLst>
                <a:ext uri="{84589F7E-364E-4C9E-8A38-B11213B215E9}">
                  <a14:cameraTool cellRange="Ram_4!$B$7:$Q$33" spid="_x0000_s2715899"/>
                </a:ext>
              </a:extLst>
            </xdr:cNvPicPr>
          </xdr:nvPicPr>
          <xdr:blipFill>
            <a:blip xmlns:r="http://schemas.openxmlformats.org/officeDocument/2006/relationships" r:embed="rId19"/>
            <a:srcRect/>
            <a:stretch>
              <a:fillRect/>
            </a:stretch>
          </xdr:blipFill>
          <xdr:spPr bwMode="auto">
            <a:xfrm>
              <a:off x="2924175" y="1737360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57150</xdr:rowOff>
        </xdr:to>
        <xdr:pic>
          <xdr:nvPicPr>
            <xdr:cNvPr id="2305480" name="Obrázek 40">
              <a:extLst>
                <a:ext uri="{FF2B5EF4-FFF2-40B4-BE49-F238E27FC236}">
                  <a16:creationId xmlns:a16="http://schemas.microsoft.com/office/drawing/2014/main" id="{919C626F-2C92-BD24-8053-163F70800460}"/>
                </a:ext>
              </a:extLst>
            </xdr:cNvPr>
            <xdr:cNvPicPr>
              <a:picLocks noChangeArrowheads="1"/>
              <a:extLst>
                <a:ext uri="{84589F7E-364E-4C9E-8A38-B11213B215E9}">
                  <a14:cameraTool cellRange="Ram_4!$AA$6:$AR$30" spid="_x0000_s2715900"/>
                </a:ext>
              </a:extLst>
            </xdr:cNvPicPr>
          </xdr:nvPicPr>
          <xdr:blipFill>
            <a:blip xmlns:r="http://schemas.openxmlformats.org/officeDocument/2006/relationships" r:embed="rId10"/>
            <a:srcRect/>
            <a:stretch>
              <a:fillRect/>
            </a:stretch>
          </xdr:blipFill>
          <xdr:spPr bwMode="auto">
            <a:xfrm>
              <a:off x="7924800" y="1737360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2305481" name="Obrázek 42">
              <a:extLst>
                <a:ext uri="{FF2B5EF4-FFF2-40B4-BE49-F238E27FC236}">
                  <a16:creationId xmlns:a16="http://schemas.microsoft.com/office/drawing/2014/main" id="{1DE23DE5-243B-A2C1-854C-5351DAE47540}"/>
                </a:ext>
              </a:extLst>
            </xdr:cNvPr>
            <xdr:cNvPicPr>
              <a:picLocks noChangeArrowheads="1"/>
              <a:extLst>
                <a:ext uri="{84589F7E-364E-4C9E-8A38-B11213B215E9}">
                  <a14:cameraTool cellRange="Ram_4!$S$24:$Y$32" spid="_x0000_s2715901"/>
                </a:ext>
              </a:extLst>
            </xdr:cNvPicPr>
          </xdr:nvPicPr>
          <xdr:blipFill>
            <a:blip xmlns:r="http://schemas.openxmlformats.org/officeDocument/2006/relationships" r:embed="rId6"/>
            <a:srcRect/>
            <a:stretch>
              <a:fillRect/>
            </a:stretch>
          </xdr:blipFill>
          <xdr:spPr bwMode="auto">
            <a:xfrm>
              <a:off x="600075" y="1806892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2305482" name="Obrázek 43">
              <a:extLst>
                <a:ext uri="{FF2B5EF4-FFF2-40B4-BE49-F238E27FC236}">
                  <a16:creationId xmlns:a16="http://schemas.microsoft.com/office/drawing/2014/main" id="{97705BDA-D0D5-5461-6FCA-6649C8D86298}"/>
                </a:ext>
              </a:extLst>
            </xdr:cNvPr>
            <xdr:cNvPicPr>
              <a:picLocks noChangeArrowheads="1"/>
              <a:extLst>
                <a:ext uri="{84589F7E-364E-4C9E-8A38-B11213B215E9}">
                  <a14:cameraTool cellRange="Ram_5!$B$7:$Q$33" spid="_x0000_s2715902"/>
                </a:ext>
              </a:extLst>
            </xdr:cNvPicPr>
          </xdr:nvPicPr>
          <xdr:blipFill>
            <a:blip xmlns:r="http://schemas.openxmlformats.org/officeDocument/2006/relationships" r:embed="rId11"/>
            <a:srcRect/>
            <a:stretch>
              <a:fillRect/>
            </a:stretch>
          </xdr:blipFill>
          <xdr:spPr bwMode="auto">
            <a:xfrm>
              <a:off x="2924175" y="22259925"/>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57150</xdr:rowOff>
        </xdr:to>
        <xdr:pic>
          <xdr:nvPicPr>
            <xdr:cNvPr id="2305483" name="Obrázek 44">
              <a:extLst>
                <a:ext uri="{FF2B5EF4-FFF2-40B4-BE49-F238E27FC236}">
                  <a16:creationId xmlns:a16="http://schemas.microsoft.com/office/drawing/2014/main" id="{8F843857-8EF6-C42B-9F53-F2457E98CA3D}"/>
                </a:ext>
              </a:extLst>
            </xdr:cNvPr>
            <xdr:cNvPicPr>
              <a:picLocks noChangeArrowheads="1"/>
              <a:extLst>
                <a:ext uri="{84589F7E-364E-4C9E-8A38-B11213B215E9}">
                  <a14:cameraTool cellRange="Ram_5!$AA$6:$AR$30" spid="_x0000_s2715903"/>
                </a:ext>
              </a:extLst>
            </xdr:cNvPicPr>
          </xdr:nvPicPr>
          <xdr:blipFill>
            <a:blip xmlns:r="http://schemas.openxmlformats.org/officeDocument/2006/relationships" r:embed="rId12"/>
            <a:srcRect/>
            <a:stretch>
              <a:fillRect/>
            </a:stretch>
          </xdr:blipFill>
          <xdr:spPr bwMode="auto">
            <a:xfrm>
              <a:off x="7924800" y="22259925"/>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2305484" name="Obrázek 46">
              <a:extLst>
                <a:ext uri="{FF2B5EF4-FFF2-40B4-BE49-F238E27FC236}">
                  <a16:creationId xmlns:a16="http://schemas.microsoft.com/office/drawing/2014/main" id="{7C87D231-AD70-4AFE-C90D-28737C03926C}"/>
                </a:ext>
              </a:extLst>
            </xdr:cNvPr>
            <xdr:cNvPicPr>
              <a:picLocks noChangeArrowheads="1"/>
              <a:extLst>
                <a:ext uri="{84589F7E-364E-4C9E-8A38-B11213B215E9}">
                  <a14:cameraTool cellRange="Ram_5!$S$24:$Y$32" spid="_x0000_s2715904"/>
                </a:ext>
              </a:extLst>
            </xdr:cNvPicPr>
          </xdr:nvPicPr>
          <xdr:blipFill>
            <a:blip xmlns:r="http://schemas.openxmlformats.org/officeDocument/2006/relationships" r:embed="rId6"/>
            <a:srcRect/>
            <a:stretch>
              <a:fillRect/>
            </a:stretch>
          </xdr:blipFill>
          <xdr:spPr bwMode="auto">
            <a:xfrm>
              <a:off x="600075" y="2295525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2305485" name="Obrázek 52">
              <a:extLst>
                <a:ext uri="{FF2B5EF4-FFF2-40B4-BE49-F238E27FC236}">
                  <a16:creationId xmlns:a16="http://schemas.microsoft.com/office/drawing/2014/main" id="{2FF1E296-68DF-10CB-E806-D78D03532A35}"/>
                </a:ext>
              </a:extLst>
            </xdr:cNvPr>
            <xdr:cNvPicPr>
              <a:picLocks noChangeArrowheads="1"/>
              <a:extLst>
                <a:ext uri="{84589F7E-364E-4C9E-8A38-B11213B215E9}">
                  <a14:cameraTool cellRange="Ram_6!$B$7:$Q$33" spid="_x0000_s2715905"/>
                </a:ext>
              </a:extLst>
            </xdr:cNvPicPr>
          </xdr:nvPicPr>
          <xdr:blipFill>
            <a:blip xmlns:r="http://schemas.openxmlformats.org/officeDocument/2006/relationships" r:embed="rId20"/>
            <a:srcRect/>
            <a:stretch>
              <a:fillRect/>
            </a:stretch>
          </xdr:blipFill>
          <xdr:spPr bwMode="auto">
            <a:xfrm>
              <a:off x="2924175" y="2714625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57150</xdr:rowOff>
        </xdr:to>
        <xdr:pic>
          <xdr:nvPicPr>
            <xdr:cNvPr id="2305486" name="Obrázek 58">
              <a:extLst>
                <a:ext uri="{FF2B5EF4-FFF2-40B4-BE49-F238E27FC236}">
                  <a16:creationId xmlns:a16="http://schemas.microsoft.com/office/drawing/2014/main" id="{2429994C-9F8C-6117-82E3-03D5938503B3}"/>
                </a:ext>
              </a:extLst>
            </xdr:cNvPr>
            <xdr:cNvPicPr>
              <a:picLocks noChangeArrowheads="1"/>
              <a:extLst>
                <a:ext uri="{84589F7E-364E-4C9E-8A38-B11213B215E9}">
                  <a14:cameraTool cellRange="Ram_6!$AA$6:$AR$30" spid="_x0000_s2715906"/>
                </a:ext>
              </a:extLst>
            </xdr:cNvPicPr>
          </xdr:nvPicPr>
          <xdr:blipFill>
            <a:blip xmlns:r="http://schemas.openxmlformats.org/officeDocument/2006/relationships" r:embed="rId14"/>
            <a:srcRect/>
            <a:stretch>
              <a:fillRect/>
            </a:stretch>
          </xdr:blipFill>
          <xdr:spPr bwMode="auto">
            <a:xfrm>
              <a:off x="7924800" y="2714625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2305487" name="Obrázek 59">
              <a:extLst>
                <a:ext uri="{FF2B5EF4-FFF2-40B4-BE49-F238E27FC236}">
                  <a16:creationId xmlns:a16="http://schemas.microsoft.com/office/drawing/2014/main" id="{71040077-9871-E40F-8CFD-6E4C44BDAA1F}"/>
                </a:ext>
              </a:extLst>
            </xdr:cNvPr>
            <xdr:cNvPicPr>
              <a:picLocks noChangeArrowheads="1"/>
              <a:extLst>
                <a:ext uri="{84589F7E-364E-4C9E-8A38-B11213B215E9}">
                  <a14:cameraTool cellRange="Ram_6!$S$24:$Y$32" spid="_x0000_s2715907"/>
                </a:ext>
              </a:extLst>
            </xdr:cNvPicPr>
          </xdr:nvPicPr>
          <xdr:blipFill>
            <a:blip xmlns:r="http://schemas.openxmlformats.org/officeDocument/2006/relationships" r:embed="rId6"/>
            <a:srcRect/>
            <a:stretch>
              <a:fillRect/>
            </a:stretch>
          </xdr:blipFill>
          <xdr:spPr bwMode="auto">
            <a:xfrm>
              <a:off x="600075" y="2784157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88" name="Picture 36304">
              <a:extLst>
                <a:ext uri="{FF2B5EF4-FFF2-40B4-BE49-F238E27FC236}">
                  <a16:creationId xmlns:a16="http://schemas.microsoft.com/office/drawing/2014/main" id="{B02853BE-7F32-D368-0597-542AB6BFEC52}"/>
                </a:ext>
              </a:extLst>
            </xdr:cNvPr>
            <xdr:cNvPicPr>
              <a:picLocks noChangeAspect="1" noChangeArrowheads="1"/>
              <a:extLst>
                <a:ext uri="{84589F7E-364E-4C9E-8A38-B11213B215E9}">
                  <a14:cameraTool cellRange="Ram_1!$B$7:$Q$33" spid="_x0000_s2715908"/>
                </a:ext>
              </a:extLst>
            </xdr:cNvPicPr>
          </xdr:nvPicPr>
          <xdr:blipFill>
            <a:blip xmlns:r="http://schemas.openxmlformats.org/officeDocument/2006/relationships" r:embed="rId21"/>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247650</xdr:colOff>
          <xdr:row>11</xdr:row>
          <xdr:rowOff>161925</xdr:rowOff>
        </xdr:from>
        <xdr:to>
          <xdr:col>40</xdr:col>
          <xdr:colOff>285750</xdr:colOff>
          <xdr:row>35</xdr:row>
          <xdr:rowOff>129540</xdr:rowOff>
        </xdr:to>
        <xdr:pic>
          <xdr:nvPicPr>
            <xdr:cNvPr id="2305489" name="Picture 36305">
              <a:extLst>
                <a:ext uri="{FF2B5EF4-FFF2-40B4-BE49-F238E27FC236}">
                  <a16:creationId xmlns:a16="http://schemas.microsoft.com/office/drawing/2014/main" id="{E5F93B1A-CDD7-EE45-24DF-A4FF280FC734}"/>
                </a:ext>
              </a:extLst>
            </xdr:cNvPr>
            <xdr:cNvPicPr>
              <a:picLocks noChangeAspect="1" noChangeArrowheads="1"/>
              <a:extLst>
                <a:ext uri="{84589F7E-364E-4C9E-8A38-B11213B215E9}">
                  <a14:cameraTool cellRange="Ram_1!$AA$6:$AR$30" spid="_x0000_s2715909"/>
                </a:ext>
              </a:extLst>
            </xdr:cNvPicPr>
          </xdr:nvPicPr>
          <xdr:blipFill>
            <a:blip xmlns:r="http://schemas.openxmlformats.org/officeDocument/2006/relationships" r:embed="rId2"/>
            <a:srcRect/>
            <a:stretch>
              <a:fillRect/>
            </a:stretch>
          </xdr:blipFill>
          <xdr:spPr bwMode="auto">
            <a:xfrm>
              <a:off x="7934325" y="2181225"/>
              <a:ext cx="4572000"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90" name="Picture 36306">
              <a:extLst>
                <a:ext uri="{FF2B5EF4-FFF2-40B4-BE49-F238E27FC236}">
                  <a16:creationId xmlns:a16="http://schemas.microsoft.com/office/drawing/2014/main" id="{4AB79DF3-19A7-95F6-858C-6502ABBA0A82}"/>
                </a:ext>
              </a:extLst>
            </xdr:cNvPr>
            <xdr:cNvPicPr>
              <a:picLocks noChangeAspect="1" noChangeArrowheads="1"/>
              <a:extLst>
                <a:ext uri="{84589F7E-364E-4C9E-8A38-B11213B215E9}">
                  <a14:cameraTool cellRange="Ram_1!$S$24:$Y$32" spid="_x0000_s2715910"/>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91" name="Picture 36307">
              <a:extLst>
                <a:ext uri="{FF2B5EF4-FFF2-40B4-BE49-F238E27FC236}">
                  <a16:creationId xmlns:a16="http://schemas.microsoft.com/office/drawing/2014/main" id="{74385FCC-D528-ED6D-2C35-B5D1FC8123A1}"/>
                </a:ext>
              </a:extLst>
            </xdr:cNvPr>
            <xdr:cNvPicPr>
              <a:picLocks noChangeAspect="1" noChangeArrowheads="1"/>
              <a:extLst>
                <a:ext uri="{84589F7E-364E-4C9E-8A38-B11213B215E9}">
                  <a14:cameraTool cellRange="Ram_2!$B$7:$Q$33" spid="_x0000_s2715911"/>
                </a:ext>
              </a:extLst>
            </xdr:cNvPicPr>
          </xdr:nvPicPr>
          <xdr:blipFill>
            <a:blip xmlns:r="http://schemas.openxmlformats.org/officeDocument/2006/relationships" r:embed="rId22"/>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92" name="Picture 36308">
              <a:extLst>
                <a:ext uri="{FF2B5EF4-FFF2-40B4-BE49-F238E27FC236}">
                  <a16:creationId xmlns:a16="http://schemas.microsoft.com/office/drawing/2014/main" id="{BB3C11E4-2873-CB03-B454-1946FBDA4EBD}"/>
                </a:ext>
              </a:extLst>
            </xdr:cNvPr>
            <xdr:cNvPicPr>
              <a:picLocks noChangeAspect="1" noChangeArrowheads="1"/>
              <a:extLst>
                <a:ext uri="{84589F7E-364E-4C9E-8A38-B11213B215E9}">
                  <a14:cameraTool cellRange="Ram_2!$AA$6:$AR$30" spid="_x0000_s2715912"/>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21</xdr:col>
      <xdr:colOff>546</xdr:colOff>
      <xdr:row>13</xdr:row>
      <xdr:rowOff>55562</xdr:rowOff>
    </xdr:from>
    <xdr:to>
      <xdr:col>26</xdr:col>
      <xdr:colOff>37798</xdr:colOff>
      <xdr:row>20</xdr:row>
      <xdr:rowOff>40146</xdr:rowOff>
    </xdr:to>
    <xdr:sp macro="" textlink="">
      <xdr:nvSpPr>
        <xdr:cNvPr id="2" name="Obdélník 1">
          <a:extLst>
            <a:ext uri="{FF2B5EF4-FFF2-40B4-BE49-F238E27FC236}">
              <a16:creationId xmlns:a16="http://schemas.microsoft.com/office/drawing/2014/main" id="{6715C7F9-5F3C-9E91-9B42-0E1AB283DC40}"/>
            </a:ext>
          </a:extLst>
        </xdr:cNvPr>
        <xdr:cNvSpPr/>
      </xdr:nvSpPr>
      <xdr:spPr bwMode="auto">
        <a:xfrm>
          <a:off x="6209413" y="2504321"/>
          <a:ext cx="1687032" cy="1271477"/>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xdr:from>
      <xdr:col>16</xdr:col>
      <xdr:colOff>1004</xdr:colOff>
      <xdr:row>13</xdr:row>
      <xdr:rowOff>13653</xdr:rowOff>
    </xdr:from>
    <xdr:to>
      <xdr:col>18</xdr:col>
      <xdr:colOff>18450</xdr:colOff>
      <xdr:row>14</xdr:row>
      <xdr:rowOff>331</xdr:rowOff>
    </xdr:to>
    <xdr:sp macro="" textlink="">
      <xdr:nvSpPr>
        <xdr:cNvPr id="6" name="Obdélník 5">
          <a:extLst>
            <a:ext uri="{FF2B5EF4-FFF2-40B4-BE49-F238E27FC236}">
              <a16:creationId xmlns:a16="http://schemas.microsoft.com/office/drawing/2014/main" id="{1C102345-AD9E-BDE6-0552-9B5DC788AD8F}"/>
            </a:ext>
          </a:extLst>
        </xdr:cNvPr>
        <xdr:cNvSpPr/>
      </xdr:nvSpPr>
      <xdr:spPr bwMode="auto">
        <a:xfrm>
          <a:off x="4699000" y="2305050"/>
          <a:ext cx="819150" cy="12700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editAs="oneCell">
    <xdr:from>
      <xdr:col>2</xdr:col>
      <xdr:colOff>0</xdr:colOff>
      <xdr:row>33</xdr:row>
      <xdr:rowOff>0</xdr:rowOff>
    </xdr:from>
    <xdr:to>
      <xdr:col>7</xdr:col>
      <xdr:colOff>9525</xdr:colOff>
      <xdr:row>36</xdr:row>
      <xdr:rowOff>0</xdr:rowOff>
    </xdr:to>
    <xdr:pic>
      <xdr:nvPicPr>
        <xdr:cNvPr id="944571" name="Picture 144">
          <a:extLst>
            <a:ext uri="{FF2B5EF4-FFF2-40B4-BE49-F238E27FC236}">
              <a16:creationId xmlns:a16="http://schemas.microsoft.com/office/drawing/2014/main" id="{D8C84F58-6DBE-5547-DE97-A5959C8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33</xdr:row>
      <xdr:rowOff>0</xdr:rowOff>
    </xdr:from>
    <xdr:to>
      <xdr:col>13</xdr:col>
      <xdr:colOff>9525</xdr:colOff>
      <xdr:row>36</xdr:row>
      <xdr:rowOff>0</xdr:rowOff>
    </xdr:to>
    <xdr:pic>
      <xdr:nvPicPr>
        <xdr:cNvPr id="944572" name="Picture 156">
          <a:extLst>
            <a:ext uri="{FF2B5EF4-FFF2-40B4-BE49-F238E27FC236}">
              <a16:creationId xmlns:a16="http://schemas.microsoft.com/office/drawing/2014/main" id="{F2023FF0-B09C-C590-5AC4-50B0B98F7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33</xdr:row>
      <xdr:rowOff>0</xdr:rowOff>
    </xdr:from>
    <xdr:to>
      <xdr:col>19</xdr:col>
      <xdr:colOff>9525</xdr:colOff>
      <xdr:row>36</xdr:row>
      <xdr:rowOff>0</xdr:rowOff>
    </xdr:to>
    <xdr:pic>
      <xdr:nvPicPr>
        <xdr:cNvPr id="944573" name="Picture 142">
          <a:extLst>
            <a:ext uri="{FF2B5EF4-FFF2-40B4-BE49-F238E27FC236}">
              <a16:creationId xmlns:a16="http://schemas.microsoft.com/office/drawing/2014/main" id="{41991A54-1885-4EB8-223F-70B53AF880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33</xdr:row>
      <xdr:rowOff>0</xdr:rowOff>
    </xdr:from>
    <xdr:to>
      <xdr:col>25</xdr:col>
      <xdr:colOff>9525</xdr:colOff>
      <xdr:row>36</xdr:row>
      <xdr:rowOff>0</xdr:rowOff>
    </xdr:to>
    <xdr:pic>
      <xdr:nvPicPr>
        <xdr:cNvPr id="944574" name="Picture 140">
          <a:extLst>
            <a:ext uri="{FF2B5EF4-FFF2-40B4-BE49-F238E27FC236}">
              <a16:creationId xmlns:a16="http://schemas.microsoft.com/office/drawing/2014/main" id="{C25DEC58-2AF6-A3F1-AD32-C963F161B6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33</xdr:row>
      <xdr:rowOff>0</xdr:rowOff>
    </xdr:from>
    <xdr:to>
      <xdr:col>31</xdr:col>
      <xdr:colOff>9525</xdr:colOff>
      <xdr:row>36</xdr:row>
      <xdr:rowOff>0</xdr:rowOff>
    </xdr:to>
    <xdr:pic>
      <xdr:nvPicPr>
        <xdr:cNvPr id="944575" name="Picture 124">
          <a:extLst>
            <a:ext uri="{FF2B5EF4-FFF2-40B4-BE49-F238E27FC236}">
              <a16:creationId xmlns:a16="http://schemas.microsoft.com/office/drawing/2014/main" id="{6BB261B1-E270-FF5C-2D42-05FF409445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771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33</xdr:row>
      <xdr:rowOff>0</xdr:rowOff>
    </xdr:from>
    <xdr:to>
      <xdr:col>37</xdr:col>
      <xdr:colOff>9525</xdr:colOff>
      <xdr:row>36</xdr:row>
      <xdr:rowOff>0</xdr:rowOff>
    </xdr:to>
    <xdr:pic>
      <xdr:nvPicPr>
        <xdr:cNvPr id="944576" name="Picture 126">
          <a:extLst>
            <a:ext uri="{FF2B5EF4-FFF2-40B4-BE49-F238E27FC236}">
              <a16:creationId xmlns:a16="http://schemas.microsoft.com/office/drawing/2014/main" id="{8FEFBDF2-4653-211F-CA08-0D2FBBC8C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4488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33</xdr:row>
      <xdr:rowOff>0</xdr:rowOff>
    </xdr:from>
    <xdr:to>
      <xdr:col>43</xdr:col>
      <xdr:colOff>9525</xdr:colOff>
      <xdr:row>36</xdr:row>
      <xdr:rowOff>0</xdr:rowOff>
    </xdr:to>
    <xdr:pic>
      <xdr:nvPicPr>
        <xdr:cNvPr id="944577" name="Picture 128">
          <a:extLst>
            <a:ext uri="{FF2B5EF4-FFF2-40B4-BE49-F238E27FC236}">
              <a16:creationId xmlns:a16="http://schemas.microsoft.com/office/drawing/2014/main" id="{FA25EF66-D622-E239-1F68-F1C67D230B5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2204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33</xdr:row>
      <xdr:rowOff>0</xdr:rowOff>
    </xdr:from>
    <xdr:to>
      <xdr:col>49</xdr:col>
      <xdr:colOff>9525</xdr:colOff>
      <xdr:row>36</xdr:row>
      <xdr:rowOff>0</xdr:rowOff>
    </xdr:to>
    <xdr:pic>
      <xdr:nvPicPr>
        <xdr:cNvPr id="944578" name="Picture 130">
          <a:extLst>
            <a:ext uri="{FF2B5EF4-FFF2-40B4-BE49-F238E27FC236}">
              <a16:creationId xmlns:a16="http://schemas.microsoft.com/office/drawing/2014/main" id="{29BF9B70-17F2-FA19-DC0F-3D543E11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921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7</xdr:col>
      <xdr:colOff>9525</xdr:colOff>
      <xdr:row>42</xdr:row>
      <xdr:rowOff>0</xdr:rowOff>
    </xdr:to>
    <xdr:pic>
      <xdr:nvPicPr>
        <xdr:cNvPr id="944579" name="Picture 132">
          <a:extLst>
            <a:ext uri="{FF2B5EF4-FFF2-40B4-BE49-F238E27FC236}">
              <a16:creationId xmlns:a16="http://schemas.microsoft.com/office/drawing/2014/main" id="{E99A621A-C3CE-19DE-1416-9685D1B122A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05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39</xdr:row>
      <xdr:rowOff>0</xdr:rowOff>
    </xdr:from>
    <xdr:to>
      <xdr:col>13</xdr:col>
      <xdr:colOff>9525</xdr:colOff>
      <xdr:row>42</xdr:row>
      <xdr:rowOff>0</xdr:rowOff>
    </xdr:to>
    <xdr:pic>
      <xdr:nvPicPr>
        <xdr:cNvPr id="944580" name="Picture 134">
          <a:extLst>
            <a:ext uri="{FF2B5EF4-FFF2-40B4-BE49-F238E27FC236}">
              <a16:creationId xmlns:a16="http://schemas.microsoft.com/office/drawing/2014/main" id="{374AB63E-7F5A-A71B-5D72-82BB85A7454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39</xdr:row>
      <xdr:rowOff>0</xdr:rowOff>
    </xdr:from>
    <xdr:to>
      <xdr:col>19</xdr:col>
      <xdr:colOff>9525</xdr:colOff>
      <xdr:row>42</xdr:row>
      <xdr:rowOff>0</xdr:rowOff>
    </xdr:to>
    <xdr:pic>
      <xdr:nvPicPr>
        <xdr:cNvPr id="944581" name="Picture 136">
          <a:extLst>
            <a:ext uri="{FF2B5EF4-FFF2-40B4-BE49-F238E27FC236}">
              <a16:creationId xmlns:a16="http://schemas.microsoft.com/office/drawing/2014/main" id="{8EFE368D-B2A7-C4AA-9A61-C0B021A7FDD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338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39</xdr:row>
      <xdr:rowOff>0</xdr:rowOff>
    </xdr:from>
    <xdr:to>
      <xdr:col>25</xdr:col>
      <xdr:colOff>9525</xdr:colOff>
      <xdr:row>42</xdr:row>
      <xdr:rowOff>0</xdr:rowOff>
    </xdr:to>
    <xdr:pic>
      <xdr:nvPicPr>
        <xdr:cNvPr id="944582" name="Picture 138">
          <a:extLst>
            <a:ext uri="{FF2B5EF4-FFF2-40B4-BE49-F238E27FC236}">
              <a16:creationId xmlns:a16="http://schemas.microsoft.com/office/drawing/2014/main" id="{50D5E83D-C602-E6A8-FD2A-AAACC3A268D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055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39</xdr:row>
      <xdr:rowOff>0</xdr:rowOff>
    </xdr:from>
    <xdr:to>
      <xdr:col>31</xdr:col>
      <xdr:colOff>9525</xdr:colOff>
      <xdr:row>42</xdr:row>
      <xdr:rowOff>0</xdr:rowOff>
    </xdr:to>
    <xdr:pic>
      <xdr:nvPicPr>
        <xdr:cNvPr id="944583" name="Picture 146">
          <a:extLst>
            <a:ext uri="{FF2B5EF4-FFF2-40B4-BE49-F238E27FC236}">
              <a16:creationId xmlns:a16="http://schemas.microsoft.com/office/drawing/2014/main" id="{1A944083-164C-7B67-DED7-AAA3D3491C5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771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39</xdr:row>
      <xdr:rowOff>0</xdr:rowOff>
    </xdr:from>
    <xdr:to>
      <xdr:col>37</xdr:col>
      <xdr:colOff>9525</xdr:colOff>
      <xdr:row>42</xdr:row>
      <xdr:rowOff>0</xdr:rowOff>
    </xdr:to>
    <xdr:pic>
      <xdr:nvPicPr>
        <xdr:cNvPr id="944584" name="Picture 148">
          <a:extLst>
            <a:ext uri="{FF2B5EF4-FFF2-40B4-BE49-F238E27FC236}">
              <a16:creationId xmlns:a16="http://schemas.microsoft.com/office/drawing/2014/main" id="{47C91132-731C-326C-F71B-0FF8D4E0263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4488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39</xdr:row>
      <xdr:rowOff>0</xdr:rowOff>
    </xdr:from>
    <xdr:to>
      <xdr:col>43</xdr:col>
      <xdr:colOff>9525</xdr:colOff>
      <xdr:row>42</xdr:row>
      <xdr:rowOff>0</xdr:rowOff>
    </xdr:to>
    <xdr:pic>
      <xdr:nvPicPr>
        <xdr:cNvPr id="944585" name="Picture 158">
          <a:extLst>
            <a:ext uri="{FF2B5EF4-FFF2-40B4-BE49-F238E27FC236}">
              <a16:creationId xmlns:a16="http://schemas.microsoft.com/office/drawing/2014/main" id="{ED2F9FA9-6270-FDD4-43D7-1DDCB4A40F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204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39</xdr:row>
      <xdr:rowOff>0</xdr:rowOff>
    </xdr:from>
    <xdr:to>
      <xdr:col>49</xdr:col>
      <xdr:colOff>9525</xdr:colOff>
      <xdr:row>42</xdr:row>
      <xdr:rowOff>0</xdr:rowOff>
    </xdr:to>
    <xdr:pic>
      <xdr:nvPicPr>
        <xdr:cNvPr id="944586" name="Picture 160">
          <a:extLst>
            <a:ext uri="{FF2B5EF4-FFF2-40B4-BE49-F238E27FC236}">
              <a16:creationId xmlns:a16="http://schemas.microsoft.com/office/drawing/2014/main" id="{E2687AEB-DFE4-B0FD-E0FB-8D4FA9D5480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9921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7</xdr:col>
      <xdr:colOff>9525</xdr:colOff>
      <xdr:row>48</xdr:row>
      <xdr:rowOff>0</xdr:rowOff>
    </xdr:to>
    <xdr:pic>
      <xdr:nvPicPr>
        <xdr:cNvPr id="944587" name="Picture 150">
          <a:extLst>
            <a:ext uri="{FF2B5EF4-FFF2-40B4-BE49-F238E27FC236}">
              <a16:creationId xmlns:a16="http://schemas.microsoft.com/office/drawing/2014/main" id="{12115C35-C3FF-0DBB-3FF6-235B4C5BE5F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45</xdr:row>
      <xdr:rowOff>0</xdr:rowOff>
    </xdr:from>
    <xdr:to>
      <xdr:col>13</xdr:col>
      <xdr:colOff>9525</xdr:colOff>
      <xdr:row>48</xdr:row>
      <xdr:rowOff>0</xdr:rowOff>
    </xdr:to>
    <xdr:pic>
      <xdr:nvPicPr>
        <xdr:cNvPr id="944588" name="Picture 152">
          <a:extLst>
            <a:ext uri="{FF2B5EF4-FFF2-40B4-BE49-F238E27FC236}">
              <a16:creationId xmlns:a16="http://schemas.microsoft.com/office/drawing/2014/main" id="{1CD127C4-6514-D212-D577-0E55D613CC3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45</xdr:row>
      <xdr:rowOff>0</xdr:rowOff>
    </xdr:from>
    <xdr:to>
      <xdr:col>19</xdr:col>
      <xdr:colOff>9525</xdr:colOff>
      <xdr:row>48</xdr:row>
      <xdr:rowOff>0</xdr:rowOff>
    </xdr:to>
    <xdr:pic>
      <xdr:nvPicPr>
        <xdr:cNvPr id="944589" name="Picture 154">
          <a:extLst>
            <a:ext uri="{FF2B5EF4-FFF2-40B4-BE49-F238E27FC236}">
              <a16:creationId xmlns:a16="http://schemas.microsoft.com/office/drawing/2014/main" id="{EDE8582B-8FDE-A34F-7396-2F4DECD8BAC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1338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45</xdr:row>
      <xdr:rowOff>0</xdr:rowOff>
    </xdr:from>
    <xdr:to>
      <xdr:col>25</xdr:col>
      <xdr:colOff>9525</xdr:colOff>
      <xdr:row>48</xdr:row>
      <xdr:rowOff>0</xdr:rowOff>
    </xdr:to>
    <xdr:pic>
      <xdr:nvPicPr>
        <xdr:cNvPr id="944590" name="Picture 278">
          <a:extLst>
            <a:ext uri="{FF2B5EF4-FFF2-40B4-BE49-F238E27FC236}">
              <a16:creationId xmlns:a16="http://schemas.microsoft.com/office/drawing/2014/main" id="{094A4233-6938-0C62-C9A8-392A0E2C16E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9055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45</xdr:row>
      <xdr:rowOff>0</xdr:rowOff>
    </xdr:from>
    <xdr:to>
      <xdr:col>31</xdr:col>
      <xdr:colOff>9525</xdr:colOff>
      <xdr:row>48</xdr:row>
      <xdr:rowOff>0</xdr:rowOff>
    </xdr:to>
    <xdr:pic>
      <xdr:nvPicPr>
        <xdr:cNvPr id="944591" name="Picture 280">
          <a:extLst>
            <a:ext uri="{FF2B5EF4-FFF2-40B4-BE49-F238E27FC236}">
              <a16:creationId xmlns:a16="http://schemas.microsoft.com/office/drawing/2014/main" id="{036EB60B-1752-6347-9C92-3F85EB8D665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6771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45</xdr:row>
      <xdr:rowOff>0</xdr:rowOff>
    </xdr:from>
    <xdr:to>
      <xdr:col>37</xdr:col>
      <xdr:colOff>9525</xdr:colOff>
      <xdr:row>48</xdr:row>
      <xdr:rowOff>0</xdr:rowOff>
    </xdr:to>
    <xdr:pic>
      <xdr:nvPicPr>
        <xdr:cNvPr id="944592" name="Picture 272">
          <a:extLst>
            <a:ext uri="{FF2B5EF4-FFF2-40B4-BE49-F238E27FC236}">
              <a16:creationId xmlns:a16="http://schemas.microsoft.com/office/drawing/2014/main" id="{AB08D766-F2A9-DA67-E147-4AC36634E3D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4488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45</xdr:row>
      <xdr:rowOff>0</xdr:rowOff>
    </xdr:from>
    <xdr:to>
      <xdr:col>43</xdr:col>
      <xdr:colOff>9525</xdr:colOff>
      <xdr:row>48</xdr:row>
      <xdr:rowOff>0</xdr:rowOff>
    </xdr:to>
    <xdr:pic>
      <xdr:nvPicPr>
        <xdr:cNvPr id="944593" name="Picture 274">
          <a:extLst>
            <a:ext uri="{FF2B5EF4-FFF2-40B4-BE49-F238E27FC236}">
              <a16:creationId xmlns:a16="http://schemas.microsoft.com/office/drawing/2014/main" id="{5F85C734-FF54-1348-1257-9A4005716DA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2204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45</xdr:row>
      <xdr:rowOff>0</xdr:rowOff>
    </xdr:from>
    <xdr:to>
      <xdr:col>49</xdr:col>
      <xdr:colOff>9525</xdr:colOff>
      <xdr:row>48</xdr:row>
      <xdr:rowOff>0</xdr:rowOff>
    </xdr:to>
    <xdr:pic>
      <xdr:nvPicPr>
        <xdr:cNvPr id="944594" name="Picture 276">
          <a:extLst>
            <a:ext uri="{FF2B5EF4-FFF2-40B4-BE49-F238E27FC236}">
              <a16:creationId xmlns:a16="http://schemas.microsoft.com/office/drawing/2014/main" id="{AE68FB02-47BB-D273-05DC-D3B88D13F5A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9921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xdr:row>
      <xdr:rowOff>0</xdr:rowOff>
    </xdr:from>
    <xdr:to>
      <xdr:col>13</xdr:col>
      <xdr:colOff>9525</xdr:colOff>
      <xdr:row>58</xdr:row>
      <xdr:rowOff>0</xdr:rowOff>
    </xdr:to>
    <xdr:pic>
      <xdr:nvPicPr>
        <xdr:cNvPr id="944595" name="Picture 290">
          <a:extLst>
            <a:ext uri="{FF2B5EF4-FFF2-40B4-BE49-F238E27FC236}">
              <a16:creationId xmlns:a16="http://schemas.microsoft.com/office/drawing/2014/main" id="{42F10542-ADB6-1405-0D1F-22B8127ABFC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622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54</xdr:row>
      <xdr:rowOff>57150</xdr:rowOff>
    </xdr:from>
    <xdr:to>
      <xdr:col>19</xdr:col>
      <xdr:colOff>9525</xdr:colOff>
      <xdr:row>58</xdr:row>
      <xdr:rowOff>0</xdr:rowOff>
    </xdr:to>
    <xdr:pic>
      <xdr:nvPicPr>
        <xdr:cNvPr id="944596" name="Picture 286">
          <a:extLst>
            <a:ext uri="{FF2B5EF4-FFF2-40B4-BE49-F238E27FC236}">
              <a16:creationId xmlns:a16="http://schemas.microsoft.com/office/drawing/2014/main" id="{40FC4CB4-49DC-D349-67A1-BD78B36FC5DB}"/>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1338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55</xdr:row>
      <xdr:rowOff>0</xdr:rowOff>
    </xdr:from>
    <xdr:to>
      <xdr:col>25</xdr:col>
      <xdr:colOff>9525</xdr:colOff>
      <xdr:row>58</xdr:row>
      <xdr:rowOff>0</xdr:rowOff>
    </xdr:to>
    <xdr:pic>
      <xdr:nvPicPr>
        <xdr:cNvPr id="944597" name="Picture 288">
          <a:extLst>
            <a:ext uri="{FF2B5EF4-FFF2-40B4-BE49-F238E27FC236}">
              <a16:creationId xmlns:a16="http://schemas.microsoft.com/office/drawing/2014/main" id="{615592D0-B9A0-5C3A-9B9A-94F515022DA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9055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54</xdr:row>
      <xdr:rowOff>57150</xdr:rowOff>
    </xdr:from>
    <xdr:to>
      <xdr:col>31</xdr:col>
      <xdr:colOff>9525</xdr:colOff>
      <xdr:row>58</xdr:row>
      <xdr:rowOff>0</xdr:rowOff>
    </xdr:to>
    <xdr:pic>
      <xdr:nvPicPr>
        <xdr:cNvPr id="944598" name="Picture 282">
          <a:extLst>
            <a:ext uri="{FF2B5EF4-FFF2-40B4-BE49-F238E27FC236}">
              <a16:creationId xmlns:a16="http://schemas.microsoft.com/office/drawing/2014/main" id="{9EF16E72-4B40-B8C4-8E23-71E9811BC1A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6771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54</xdr:row>
      <xdr:rowOff>57150</xdr:rowOff>
    </xdr:from>
    <xdr:to>
      <xdr:col>37</xdr:col>
      <xdr:colOff>9525</xdr:colOff>
      <xdr:row>58</xdr:row>
      <xdr:rowOff>0</xdr:rowOff>
    </xdr:to>
    <xdr:pic>
      <xdr:nvPicPr>
        <xdr:cNvPr id="944599" name="Picture 284">
          <a:extLst>
            <a:ext uri="{FF2B5EF4-FFF2-40B4-BE49-F238E27FC236}">
              <a16:creationId xmlns:a16="http://schemas.microsoft.com/office/drawing/2014/main" id="{649FFD6E-A98F-EA67-B364-B9883381F3C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44880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54</xdr:row>
      <xdr:rowOff>57150</xdr:rowOff>
    </xdr:from>
    <xdr:to>
      <xdr:col>43</xdr:col>
      <xdr:colOff>9525</xdr:colOff>
      <xdr:row>58</xdr:row>
      <xdr:rowOff>0</xdr:rowOff>
    </xdr:to>
    <xdr:pic>
      <xdr:nvPicPr>
        <xdr:cNvPr id="944600" name="Picture 292">
          <a:extLst>
            <a:ext uri="{FF2B5EF4-FFF2-40B4-BE49-F238E27FC236}">
              <a16:creationId xmlns:a16="http://schemas.microsoft.com/office/drawing/2014/main" id="{02F287A1-60FD-4834-9159-C27CDFDA82C6}"/>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2204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13881</xdr:colOff>
      <xdr:row>14</xdr:row>
      <xdr:rowOff>2510</xdr:rowOff>
    </xdr:from>
    <xdr:to>
      <xdr:col>39</xdr:col>
      <xdr:colOff>790</xdr:colOff>
      <xdr:row>21</xdr:row>
      <xdr:rowOff>1176</xdr:rowOff>
    </xdr:to>
    <xdr:sp macro="" textlink="">
      <xdr:nvSpPr>
        <xdr:cNvPr id="3" name="Obdélník 2">
          <a:extLst>
            <a:ext uri="{FF2B5EF4-FFF2-40B4-BE49-F238E27FC236}">
              <a16:creationId xmlns:a16="http://schemas.microsoft.com/office/drawing/2014/main" id="{29184EF5-5C95-3750-E2D8-CC219364FE49}"/>
            </a:ext>
          </a:extLst>
        </xdr:cNvPr>
        <xdr:cNvSpPr/>
      </xdr:nvSpPr>
      <xdr:spPr bwMode="auto">
        <a:xfrm>
          <a:off x="9968023" y="2516372"/>
          <a:ext cx="1683489" cy="1249326"/>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ln>
              <a:solidFill>
                <a:schemeClr val="bg1"/>
              </a:solidFill>
            </a:ln>
          </a:endParaRPr>
        </a:p>
      </xdr:txBody>
    </xdr:sp>
    <xdr:clientData/>
  </xdr:twoCellAnchor>
  <xdr:twoCellAnchor editAs="oneCell">
    <xdr:from>
      <xdr:col>15</xdr:col>
      <xdr:colOff>73380</xdr:colOff>
      <xdr:row>78</xdr:row>
      <xdr:rowOff>122016</xdr:rowOff>
    </xdr:from>
    <xdr:to>
      <xdr:col>26</xdr:col>
      <xdr:colOff>182880</xdr:colOff>
      <xdr:row>99</xdr:row>
      <xdr:rowOff>106680</xdr:rowOff>
    </xdr:to>
    <xdr:pic>
      <xdr:nvPicPr>
        <xdr:cNvPr id="7" name="Obrázek 6">
          <a:extLst>
            <a:ext uri="{FF2B5EF4-FFF2-40B4-BE49-F238E27FC236}">
              <a16:creationId xmlns:a16="http://schemas.microsoft.com/office/drawing/2014/main" id="{3612D29E-39D6-179F-1524-C39950082C4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645380" y="14462856"/>
          <a:ext cx="3462300" cy="4305204"/>
        </a:xfrm>
        <a:prstGeom prst="rect">
          <a:avLst/>
        </a:prstGeom>
      </xdr:spPr>
    </xdr:pic>
    <xdr:clientData/>
  </xdr:twoCellAnchor>
  <xdr:twoCellAnchor editAs="oneCell">
    <xdr:from>
      <xdr:col>1</xdr:col>
      <xdr:colOff>280530</xdr:colOff>
      <xdr:row>78</xdr:row>
      <xdr:rowOff>187670</xdr:rowOff>
    </xdr:from>
    <xdr:to>
      <xdr:col>12</xdr:col>
      <xdr:colOff>201930</xdr:colOff>
      <xdr:row>98</xdr:row>
      <xdr:rowOff>179069</xdr:rowOff>
    </xdr:to>
    <xdr:pic>
      <xdr:nvPicPr>
        <xdr:cNvPr id="9" name="Obrázek 8">
          <a:extLst>
            <a:ext uri="{FF2B5EF4-FFF2-40B4-BE49-F238E27FC236}">
              <a16:creationId xmlns:a16="http://schemas.microsoft.com/office/drawing/2014/main" id="{6CB7479C-7384-71E8-B5C8-4F73D64B21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85330" y="14528510"/>
          <a:ext cx="3274200" cy="4106199"/>
        </a:xfrm>
        <a:prstGeom prst="rect">
          <a:avLst/>
        </a:prstGeom>
      </xdr:spPr>
    </xdr:pic>
    <xdr:clientData/>
  </xdr:twoCellAnchor>
  <xdr:twoCellAnchor editAs="oneCell">
    <xdr:from>
      <xdr:col>28</xdr:col>
      <xdr:colOff>9525</xdr:colOff>
      <xdr:row>62</xdr:row>
      <xdr:rowOff>123825</xdr:rowOff>
    </xdr:from>
    <xdr:to>
      <xdr:col>47</xdr:col>
      <xdr:colOff>172594</xdr:colOff>
      <xdr:row>84</xdr:row>
      <xdr:rowOff>132360</xdr:rowOff>
    </xdr:to>
    <xdr:pic>
      <xdr:nvPicPr>
        <xdr:cNvPr id="11" name="Obrázek 10">
          <a:extLst>
            <a:ext uri="{FF2B5EF4-FFF2-40B4-BE49-F238E27FC236}">
              <a16:creationId xmlns:a16="http://schemas.microsoft.com/office/drawing/2014/main" id="{E37C6D34-8F66-0248-73E9-BA9AD0F7A83B}"/>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277225" y="11125200"/>
          <a:ext cx="5773294" cy="4618635"/>
        </a:xfrm>
        <a:prstGeom prst="rect">
          <a:avLst/>
        </a:prstGeom>
      </xdr:spPr>
    </xdr:pic>
    <xdr:clientData/>
  </xdr:twoCellAnchor>
  <xdr:twoCellAnchor editAs="oneCell">
    <xdr:from>
      <xdr:col>0</xdr:col>
      <xdr:colOff>285749</xdr:colOff>
      <xdr:row>0</xdr:row>
      <xdr:rowOff>180975</xdr:rowOff>
    </xdr:from>
    <xdr:to>
      <xdr:col>5</xdr:col>
      <xdr:colOff>43317</xdr:colOff>
      <xdr:row>4</xdr:row>
      <xdr:rowOff>9525</xdr:rowOff>
    </xdr:to>
    <xdr:pic>
      <xdr:nvPicPr>
        <xdr:cNvPr id="12" name="Obrázek 7">
          <a:extLst>
            <a:ext uri="{FF2B5EF4-FFF2-40B4-BE49-F238E27FC236}">
              <a16:creationId xmlns:a16="http://schemas.microsoft.com/office/drawing/2014/main" id="{039E5E46-F716-4D2E-9BAF-079315A962F4}"/>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49" y="180975"/>
          <a:ext cx="1233943"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100</xdr:row>
      <xdr:rowOff>0</xdr:rowOff>
    </xdr:from>
    <xdr:to>
      <xdr:col>15</xdr:col>
      <xdr:colOff>141525</xdr:colOff>
      <xdr:row>126</xdr:row>
      <xdr:rowOff>134445</xdr:rowOff>
    </xdr:to>
    <xdr:pic>
      <xdr:nvPicPr>
        <xdr:cNvPr id="5" name="Obrázek 4">
          <a:extLst>
            <a:ext uri="{FF2B5EF4-FFF2-40B4-BE49-F238E27FC236}">
              <a16:creationId xmlns:a16="http://schemas.microsoft.com/office/drawing/2014/main" id="{6EC94824-359A-EDD3-2E89-17F5DE8A67A7}"/>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04800" y="19392900"/>
          <a:ext cx="4408725" cy="5582745"/>
        </a:xfrm>
        <a:prstGeom prst="rect">
          <a:avLst/>
        </a:prstGeom>
      </xdr:spPr>
    </xdr:pic>
    <xdr:clientData/>
  </xdr:twoCellAnchor>
  <xdr:twoCellAnchor editAs="oneCell">
    <xdr:from>
      <xdr:col>16</xdr:col>
      <xdr:colOff>226200</xdr:colOff>
      <xdr:row>100</xdr:row>
      <xdr:rowOff>16651</xdr:rowOff>
    </xdr:from>
    <xdr:to>
      <xdr:col>31</xdr:col>
      <xdr:colOff>62925</xdr:colOff>
      <xdr:row>126</xdr:row>
      <xdr:rowOff>152080</xdr:rowOff>
    </xdr:to>
    <xdr:pic>
      <xdr:nvPicPr>
        <xdr:cNvPr id="10" name="Obrázek 9">
          <a:extLst>
            <a:ext uri="{FF2B5EF4-FFF2-40B4-BE49-F238E27FC236}">
              <a16:creationId xmlns:a16="http://schemas.microsoft.com/office/drawing/2014/main" id="{0CE9BCA7-413E-F8E7-E9DC-BC3C29E1FA54}"/>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103000" y="19409551"/>
          <a:ext cx="4408725" cy="5583729"/>
        </a:xfrm>
        <a:prstGeom prst="rect">
          <a:avLst/>
        </a:prstGeom>
      </xdr:spPr>
    </xdr:pic>
    <xdr:clientData/>
  </xdr:twoCellAnchor>
  <xdr:twoCellAnchor editAs="oneCell">
    <xdr:from>
      <xdr:col>32</xdr:col>
      <xdr:colOff>204750</xdr:colOff>
      <xdr:row>100</xdr:row>
      <xdr:rowOff>16971</xdr:rowOff>
    </xdr:from>
    <xdr:to>
      <xdr:col>47</xdr:col>
      <xdr:colOff>41475</xdr:colOff>
      <xdr:row>126</xdr:row>
      <xdr:rowOff>152400</xdr:rowOff>
    </xdr:to>
    <xdr:pic>
      <xdr:nvPicPr>
        <xdr:cNvPr id="15" name="Obrázek 14">
          <a:extLst>
            <a:ext uri="{FF2B5EF4-FFF2-40B4-BE49-F238E27FC236}">
              <a16:creationId xmlns:a16="http://schemas.microsoft.com/office/drawing/2014/main" id="{024FF8BA-5C00-15C4-4009-AD3D062FB54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958350" y="19409871"/>
          <a:ext cx="4408725" cy="5583729"/>
        </a:xfrm>
        <a:prstGeom prst="rect">
          <a:avLst/>
        </a:prstGeom>
      </xdr:spPr>
    </xdr:pic>
    <xdr:clientData/>
  </xdr:twoCellAnchor>
  <xdr:twoCellAnchor editAs="oneCell">
    <xdr:from>
      <xdr:col>0</xdr:col>
      <xdr:colOff>0</xdr:colOff>
      <xdr:row>4</xdr:row>
      <xdr:rowOff>142875</xdr:rowOff>
    </xdr:from>
    <xdr:to>
      <xdr:col>50</xdr:col>
      <xdr:colOff>0</xdr:colOff>
      <xdr:row>28</xdr:row>
      <xdr:rowOff>28575</xdr:rowOff>
    </xdr:to>
    <xdr:pic>
      <xdr:nvPicPr>
        <xdr:cNvPr id="4" name="Obrázek 3">
          <a:extLst>
            <a:ext uri="{FF2B5EF4-FFF2-40B4-BE49-F238E27FC236}">
              <a16:creationId xmlns:a16="http://schemas.microsoft.com/office/drawing/2014/main" id="{C3EC4968-E43C-FAD8-3962-9C3E6C96FDA1}"/>
            </a:ext>
          </a:extLst>
        </xdr:cNvPr>
        <xdr:cNvPicPr>
          <a:picLocks noChangeAspect="1"/>
        </xdr:cNvPicPr>
      </xdr:nvPicPr>
      <xdr:blipFill>
        <a:blip xmlns:r="http://schemas.openxmlformats.org/officeDocument/2006/relationships" r:embed="rId38"/>
        <a:stretch>
          <a:fillRect/>
        </a:stretch>
      </xdr:blipFill>
      <xdr:spPr>
        <a:xfrm>
          <a:off x="0" y="809625"/>
          <a:ext cx="14763750" cy="4248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894" name="Obrázek 56">
              <a:extLst>
                <a:ext uri="{FF2B5EF4-FFF2-40B4-BE49-F238E27FC236}">
                  <a16:creationId xmlns:a16="http://schemas.microsoft.com/office/drawing/2014/main" id="{7B1804A5-B877-27CB-F971-32D56825B409}"/>
                </a:ext>
              </a:extLst>
            </xdr:cNvPr>
            <xdr:cNvPicPr>
              <a:picLocks noChangeAspect="1" noChangeArrowheads="1"/>
              <a:extLst>
                <a:ext uri="{84589F7E-364E-4C9E-8A38-B11213B215E9}">
                  <a14:cameraTool cellRange="Ram_1!$S$25" spid="_x0000_s2695549"/>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895" name="Obrázek 57">
              <a:extLst>
                <a:ext uri="{FF2B5EF4-FFF2-40B4-BE49-F238E27FC236}">
                  <a16:creationId xmlns:a16="http://schemas.microsoft.com/office/drawing/2014/main" id="{AD34EDF2-EAEB-CD54-FFB7-FF5B9DB93F02}"/>
                </a:ext>
              </a:extLst>
            </xdr:cNvPr>
            <xdr:cNvPicPr>
              <a:picLocks noChangeAspect="1" noChangeArrowheads="1"/>
              <a:extLst>
                <a:ext uri="{84589F7E-364E-4C9E-8A38-B11213B215E9}">
                  <a14:cameraTool cellRange="Ram_2!$AA$6:$AP$28" spid="_x0000_s2695550"/>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896" name="Obrázek 59">
              <a:extLst>
                <a:ext uri="{FF2B5EF4-FFF2-40B4-BE49-F238E27FC236}">
                  <a16:creationId xmlns:a16="http://schemas.microsoft.com/office/drawing/2014/main" id="{CAE1EE01-07AB-88E1-E27D-A06B37A2C272}"/>
                </a:ext>
              </a:extLst>
            </xdr:cNvPr>
            <xdr:cNvPicPr>
              <a:picLocks noChangeAspect="1" noChangeArrowheads="1"/>
              <a:extLst>
                <a:ext uri="{84589F7E-364E-4C9E-8A38-B11213B215E9}">
                  <a14:cameraTool cellRange="Ram_3!$AA$6:$AP$28" spid="_x0000_s2695551"/>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897" name="Obrázek 61">
              <a:extLst>
                <a:ext uri="{FF2B5EF4-FFF2-40B4-BE49-F238E27FC236}">
                  <a16:creationId xmlns:a16="http://schemas.microsoft.com/office/drawing/2014/main" id="{F5EF351C-0007-B83C-29FA-813B5C08ADB7}"/>
                </a:ext>
              </a:extLst>
            </xdr:cNvPr>
            <xdr:cNvPicPr>
              <a:picLocks noChangeAspect="1" noChangeArrowheads="1"/>
              <a:extLst>
                <a:ext uri="{84589F7E-364E-4C9E-8A38-B11213B215E9}">
                  <a14:cameraTool cellRange="Ram_4!$AA$6:$AP$28" spid="_x0000_s2695552"/>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898" name="Obrázek 63">
              <a:extLst>
                <a:ext uri="{FF2B5EF4-FFF2-40B4-BE49-F238E27FC236}">
                  <a16:creationId xmlns:a16="http://schemas.microsoft.com/office/drawing/2014/main" id="{B7BB7008-8A55-F545-9AA9-6F82B10063C3}"/>
                </a:ext>
              </a:extLst>
            </xdr:cNvPr>
            <xdr:cNvPicPr>
              <a:picLocks noChangeAspect="1" noChangeArrowheads="1"/>
              <a:extLst>
                <a:ext uri="{84589F7E-364E-4C9E-8A38-B11213B215E9}">
                  <a14:cameraTool cellRange="Ram_5!$AA$6:$AP$28" spid="_x0000_s2695553"/>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899" name="Obrázek 65">
              <a:extLst>
                <a:ext uri="{FF2B5EF4-FFF2-40B4-BE49-F238E27FC236}">
                  <a16:creationId xmlns:a16="http://schemas.microsoft.com/office/drawing/2014/main" id="{577C1F56-2F11-51B6-A46C-D200BBD77EBD}"/>
                </a:ext>
              </a:extLst>
            </xdr:cNvPr>
            <xdr:cNvPicPr>
              <a:picLocks noChangeAspect="1" noChangeArrowheads="1"/>
              <a:extLst>
                <a:ext uri="{84589F7E-364E-4C9E-8A38-B11213B215E9}">
                  <a14:cameraTool cellRange="Ram_6!$AA$6:$AP$28" spid="_x0000_s2695554"/>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00" name="Obrázek 68">
              <a:extLst>
                <a:ext uri="{FF2B5EF4-FFF2-40B4-BE49-F238E27FC236}">
                  <a16:creationId xmlns:a16="http://schemas.microsoft.com/office/drawing/2014/main" id="{CCD973EE-F68F-7D7F-D9F6-BAAAC95279B9}"/>
                </a:ext>
              </a:extLst>
            </xdr:cNvPr>
            <xdr:cNvPicPr>
              <a:picLocks noChangeAspect="1" noChangeArrowheads="1"/>
              <a:extLst>
                <a:ext uri="{84589F7E-364E-4C9E-8A38-B11213B215E9}">
                  <a14:cameraTool cellRange="Ram_1!$S$25" spid="_x0000_s2695555"/>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01" name="Obrázek 69">
              <a:extLst>
                <a:ext uri="{FF2B5EF4-FFF2-40B4-BE49-F238E27FC236}">
                  <a16:creationId xmlns:a16="http://schemas.microsoft.com/office/drawing/2014/main" id="{784B27AE-98C9-ACD4-D0C0-466004F9C323}"/>
                </a:ext>
              </a:extLst>
            </xdr:cNvPr>
            <xdr:cNvPicPr>
              <a:picLocks noChangeAspect="1" noChangeArrowheads="1"/>
              <a:extLst>
                <a:ext uri="{84589F7E-364E-4C9E-8A38-B11213B215E9}">
                  <a14:cameraTool cellRange="Ram_2!$S$25" spid="_x0000_s2695556"/>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02" name="Obrázek 70">
              <a:extLst>
                <a:ext uri="{FF2B5EF4-FFF2-40B4-BE49-F238E27FC236}">
                  <a16:creationId xmlns:a16="http://schemas.microsoft.com/office/drawing/2014/main" id="{8595104B-0917-70A4-E753-95B8576D60D4}"/>
                </a:ext>
              </a:extLst>
            </xdr:cNvPr>
            <xdr:cNvPicPr>
              <a:picLocks noChangeAspect="1" noChangeArrowheads="1"/>
              <a:extLst>
                <a:ext uri="{84589F7E-364E-4C9E-8A38-B11213B215E9}">
                  <a14:cameraTool cellRange="Ram_3!$S$25" spid="_x0000_s2695557"/>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03" name="Obrázek 71">
              <a:extLst>
                <a:ext uri="{FF2B5EF4-FFF2-40B4-BE49-F238E27FC236}">
                  <a16:creationId xmlns:a16="http://schemas.microsoft.com/office/drawing/2014/main" id="{74C8425C-89E3-BB06-33FA-7C78F7F8794A}"/>
                </a:ext>
              </a:extLst>
            </xdr:cNvPr>
            <xdr:cNvPicPr>
              <a:picLocks noChangeAspect="1" noChangeArrowheads="1"/>
              <a:extLst>
                <a:ext uri="{84589F7E-364E-4C9E-8A38-B11213B215E9}">
                  <a14:cameraTool cellRange="Ram_4!$S$25" spid="_x0000_s2695558"/>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04" name="Obrázek 72">
              <a:extLst>
                <a:ext uri="{FF2B5EF4-FFF2-40B4-BE49-F238E27FC236}">
                  <a16:creationId xmlns:a16="http://schemas.microsoft.com/office/drawing/2014/main" id="{47404AB4-206C-19CD-8E61-8ED0A6FDD8A4}"/>
                </a:ext>
              </a:extLst>
            </xdr:cNvPr>
            <xdr:cNvPicPr>
              <a:picLocks noChangeAspect="1" noChangeArrowheads="1"/>
              <a:extLst>
                <a:ext uri="{84589F7E-364E-4C9E-8A38-B11213B215E9}">
                  <a14:cameraTool cellRange="Ram_5!$S$25" spid="_x0000_s2695559"/>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05" name="Obrázek 74">
              <a:extLst>
                <a:ext uri="{FF2B5EF4-FFF2-40B4-BE49-F238E27FC236}">
                  <a16:creationId xmlns:a16="http://schemas.microsoft.com/office/drawing/2014/main" id="{04B40F68-6271-9FA2-42F7-2116A8DB0723}"/>
                </a:ext>
              </a:extLst>
            </xdr:cNvPr>
            <xdr:cNvPicPr>
              <a:picLocks noChangeAspect="1" noChangeArrowheads="1"/>
              <a:extLst>
                <a:ext uri="{84589F7E-364E-4C9E-8A38-B11213B215E9}">
                  <a14:cameraTool cellRange="Ram_1!$AA$6:$AP$28" spid="_x0000_s2695560"/>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06" name="Obrázek 75">
              <a:extLst>
                <a:ext uri="{FF2B5EF4-FFF2-40B4-BE49-F238E27FC236}">
                  <a16:creationId xmlns:a16="http://schemas.microsoft.com/office/drawing/2014/main" id="{C9E53041-32BA-2F96-5694-9C7EA42A7B78}"/>
                </a:ext>
              </a:extLst>
            </xdr:cNvPr>
            <xdr:cNvPicPr>
              <a:picLocks noChangeAspect="1" noChangeArrowheads="1"/>
              <a:extLst>
                <a:ext uri="{84589F7E-364E-4C9E-8A38-B11213B215E9}">
                  <a14:cameraTool cellRange="Ram_6!$S$25" spid="_x0000_s2695561"/>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907" name="Obrázek 56">
              <a:extLst>
                <a:ext uri="{FF2B5EF4-FFF2-40B4-BE49-F238E27FC236}">
                  <a16:creationId xmlns:a16="http://schemas.microsoft.com/office/drawing/2014/main" id="{45F4142B-F844-8BE0-B516-D8135C7F362A}"/>
                </a:ext>
              </a:extLst>
            </xdr:cNvPr>
            <xdr:cNvPicPr>
              <a:picLocks noChangeAspect="1" noChangeArrowheads="1"/>
              <a:extLst>
                <a:ext uri="{84589F7E-364E-4C9E-8A38-B11213B215E9}">
                  <a14:cameraTool cellRange="Ram_1!$S$25" spid="_x0000_s2695562"/>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908" name="Obrázek 57">
              <a:extLst>
                <a:ext uri="{FF2B5EF4-FFF2-40B4-BE49-F238E27FC236}">
                  <a16:creationId xmlns:a16="http://schemas.microsoft.com/office/drawing/2014/main" id="{A14918F6-7F55-C3F8-5856-46B3AF761F86}"/>
                </a:ext>
              </a:extLst>
            </xdr:cNvPr>
            <xdr:cNvPicPr>
              <a:picLocks noChangeAspect="1" noChangeArrowheads="1"/>
              <a:extLst>
                <a:ext uri="{84589F7E-364E-4C9E-8A38-B11213B215E9}">
                  <a14:cameraTool cellRange="Ram_2!$AA$6:$AP$28" spid="_x0000_s2695563"/>
                </a:ext>
              </a:extLst>
            </xdr:cNvPicPr>
          </xdr:nvPicPr>
          <xdr:blipFill>
            <a:blip xmlns:r="http://schemas.openxmlformats.org/officeDocument/2006/relationships" r:embed="rId9"/>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909" name="Obrázek 59">
              <a:extLst>
                <a:ext uri="{FF2B5EF4-FFF2-40B4-BE49-F238E27FC236}">
                  <a16:creationId xmlns:a16="http://schemas.microsoft.com/office/drawing/2014/main" id="{85B8CBAC-F0E5-37F0-101A-67F95AD7E394}"/>
                </a:ext>
              </a:extLst>
            </xdr:cNvPr>
            <xdr:cNvPicPr>
              <a:picLocks noChangeAspect="1" noChangeArrowheads="1"/>
              <a:extLst>
                <a:ext uri="{84589F7E-364E-4C9E-8A38-B11213B215E9}">
                  <a14:cameraTool cellRange="Ram_3!$AA$6:$AP$28" spid="_x0000_s2695564"/>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910" name="Obrázek 61">
              <a:extLst>
                <a:ext uri="{FF2B5EF4-FFF2-40B4-BE49-F238E27FC236}">
                  <a16:creationId xmlns:a16="http://schemas.microsoft.com/office/drawing/2014/main" id="{4D505E43-3DD0-4F34-6142-8C73D9AEEB45}"/>
                </a:ext>
              </a:extLst>
            </xdr:cNvPr>
            <xdr:cNvPicPr>
              <a:picLocks noChangeAspect="1" noChangeArrowheads="1"/>
              <a:extLst>
                <a:ext uri="{84589F7E-364E-4C9E-8A38-B11213B215E9}">
                  <a14:cameraTool cellRange="Ram_4!$AA$6:$AP$28" spid="_x0000_s2695565"/>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911" name="Obrázek 63">
              <a:extLst>
                <a:ext uri="{FF2B5EF4-FFF2-40B4-BE49-F238E27FC236}">
                  <a16:creationId xmlns:a16="http://schemas.microsoft.com/office/drawing/2014/main" id="{116EFD08-BE0A-71DF-CA1B-B0D25DF15B45}"/>
                </a:ext>
              </a:extLst>
            </xdr:cNvPr>
            <xdr:cNvPicPr>
              <a:picLocks noChangeAspect="1" noChangeArrowheads="1"/>
              <a:extLst>
                <a:ext uri="{84589F7E-364E-4C9E-8A38-B11213B215E9}">
                  <a14:cameraTool cellRange="Ram_5!$AA$6:$AP$28" spid="_x0000_s2695566"/>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912" name="Obrázek 65">
              <a:extLst>
                <a:ext uri="{FF2B5EF4-FFF2-40B4-BE49-F238E27FC236}">
                  <a16:creationId xmlns:a16="http://schemas.microsoft.com/office/drawing/2014/main" id="{160B150F-AD53-AE42-14E1-FA5B4C7F82F2}"/>
                </a:ext>
              </a:extLst>
            </xdr:cNvPr>
            <xdr:cNvPicPr>
              <a:picLocks noChangeAspect="1" noChangeArrowheads="1"/>
              <a:extLst>
                <a:ext uri="{84589F7E-364E-4C9E-8A38-B11213B215E9}">
                  <a14:cameraTool cellRange="Ram_6!$AA$6:$AP$28" spid="_x0000_s2695567"/>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13" name="Obrázek 68">
              <a:extLst>
                <a:ext uri="{FF2B5EF4-FFF2-40B4-BE49-F238E27FC236}">
                  <a16:creationId xmlns:a16="http://schemas.microsoft.com/office/drawing/2014/main" id="{D2DFC04D-1874-38D1-49CC-8409395B682D}"/>
                </a:ext>
              </a:extLst>
            </xdr:cNvPr>
            <xdr:cNvPicPr>
              <a:picLocks noChangeAspect="1" noChangeArrowheads="1"/>
              <a:extLst>
                <a:ext uri="{84589F7E-364E-4C9E-8A38-B11213B215E9}">
                  <a14:cameraTool cellRange="Ram_1!$S$25" spid="_x0000_s2695568"/>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14" name="Obrázek 69">
              <a:extLst>
                <a:ext uri="{FF2B5EF4-FFF2-40B4-BE49-F238E27FC236}">
                  <a16:creationId xmlns:a16="http://schemas.microsoft.com/office/drawing/2014/main" id="{C1F840AA-089B-7E6B-C626-750C1DA45FE7}"/>
                </a:ext>
              </a:extLst>
            </xdr:cNvPr>
            <xdr:cNvPicPr>
              <a:picLocks noChangeAspect="1" noChangeArrowheads="1"/>
              <a:extLst>
                <a:ext uri="{84589F7E-364E-4C9E-8A38-B11213B215E9}">
                  <a14:cameraTool cellRange="Ram_2!$S$25" spid="_x0000_s2695569"/>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15" name="Obrázek 70">
              <a:extLst>
                <a:ext uri="{FF2B5EF4-FFF2-40B4-BE49-F238E27FC236}">
                  <a16:creationId xmlns:a16="http://schemas.microsoft.com/office/drawing/2014/main" id="{36C6F3D5-9F5C-01FA-D5B4-368C8E8A4031}"/>
                </a:ext>
              </a:extLst>
            </xdr:cNvPr>
            <xdr:cNvPicPr>
              <a:picLocks noChangeAspect="1" noChangeArrowheads="1"/>
              <a:extLst>
                <a:ext uri="{84589F7E-364E-4C9E-8A38-B11213B215E9}">
                  <a14:cameraTool cellRange="Ram_3!$S$25" spid="_x0000_s2695570"/>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16" name="Obrázek 71">
              <a:extLst>
                <a:ext uri="{FF2B5EF4-FFF2-40B4-BE49-F238E27FC236}">
                  <a16:creationId xmlns:a16="http://schemas.microsoft.com/office/drawing/2014/main" id="{1D726634-411C-B4B4-5AA0-FE33E4815FD8}"/>
                </a:ext>
              </a:extLst>
            </xdr:cNvPr>
            <xdr:cNvPicPr>
              <a:picLocks noChangeAspect="1" noChangeArrowheads="1"/>
              <a:extLst>
                <a:ext uri="{84589F7E-364E-4C9E-8A38-B11213B215E9}">
                  <a14:cameraTool cellRange="Ram_4!$S$25" spid="_x0000_s2695571"/>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17" name="Obrázek 72">
              <a:extLst>
                <a:ext uri="{FF2B5EF4-FFF2-40B4-BE49-F238E27FC236}">
                  <a16:creationId xmlns:a16="http://schemas.microsoft.com/office/drawing/2014/main" id="{83C63EC4-AF79-99B4-62F7-AFFA35AC58A9}"/>
                </a:ext>
              </a:extLst>
            </xdr:cNvPr>
            <xdr:cNvPicPr>
              <a:picLocks noChangeAspect="1" noChangeArrowheads="1"/>
              <a:extLst>
                <a:ext uri="{84589F7E-364E-4C9E-8A38-B11213B215E9}">
                  <a14:cameraTool cellRange="Ram_5!$S$25" spid="_x0000_s2695572"/>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18" name="Obrázek 74">
              <a:extLst>
                <a:ext uri="{FF2B5EF4-FFF2-40B4-BE49-F238E27FC236}">
                  <a16:creationId xmlns:a16="http://schemas.microsoft.com/office/drawing/2014/main" id="{B63BE836-B7EE-107A-D654-102160D1AE6A}"/>
                </a:ext>
              </a:extLst>
            </xdr:cNvPr>
            <xdr:cNvPicPr>
              <a:picLocks noChangeAspect="1" noChangeArrowheads="1"/>
              <a:extLst>
                <a:ext uri="{84589F7E-364E-4C9E-8A38-B11213B215E9}">
                  <a14:cameraTool cellRange="Ram_1!$AA$6:$AP$28" spid="_x0000_s2695573"/>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19" name="Obrázek 75">
              <a:extLst>
                <a:ext uri="{FF2B5EF4-FFF2-40B4-BE49-F238E27FC236}">
                  <a16:creationId xmlns:a16="http://schemas.microsoft.com/office/drawing/2014/main" id="{2A508825-2F8A-70AE-75FD-8F525309D391}"/>
                </a:ext>
              </a:extLst>
            </xdr:cNvPr>
            <xdr:cNvPicPr>
              <a:picLocks noChangeAspect="1" noChangeArrowheads="1"/>
              <a:extLst>
                <a:ext uri="{84589F7E-364E-4C9E-8A38-B11213B215E9}">
                  <a14:cameraTool cellRange="Ram_6!$S$25" spid="_x0000_s2695574"/>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293" name="Obrázek 56">
              <a:extLst>
                <a:ext uri="{FF2B5EF4-FFF2-40B4-BE49-F238E27FC236}">
                  <a16:creationId xmlns:a16="http://schemas.microsoft.com/office/drawing/2014/main" id="{22A46FB8-4B91-9EBC-0888-8A30242155BC}"/>
                </a:ext>
              </a:extLst>
            </xdr:cNvPr>
            <xdr:cNvPicPr>
              <a:picLocks noChangeAspect="1" noChangeArrowheads="1"/>
              <a:extLst>
                <a:ext uri="{84589F7E-364E-4C9E-8A38-B11213B215E9}">
                  <a14:cameraTool cellRange="Ram_1!$S$25" spid="_x0000_s2695575"/>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294" name="Obrázek 57">
              <a:extLst>
                <a:ext uri="{FF2B5EF4-FFF2-40B4-BE49-F238E27FC236}">
                  <a16:creationId xmlns:a16="http://schemas.microsoft.com/office/drawing/2014/main" id="{73157FBA-1AA1-C9DD-693A-96FAC66A6164}"/>
                </a:ext>
              </a:extLst>
            </xdr:cNvPr>
            <xdr:cNvPicPr>
              <a:picLocks noChangeAspect="1" noChangeArrowheads="1"/>
              <a:extLst>
                <a:ext uri="{84589F7E-364E-4C9E-8A38-B11213B215E9}">
                  <a14:cameraTool cellRange="Ram_2!$AA$6:$AP$28" spid="_x0000_s2695576"/>
                </a:ext>
              </a:extLst>
            </xdr:cNvPicPr>
          </xdr:nvPicPr>
          <xdr:blipFill>
            <a:blip xmlns:r="http://schemas.openxmlformats.org/officeDocument/2006/relationships" r:embed="rId9"/>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295" name="Obrázek 59">
              <a:extLst>
                <a:ext uri="{FF2B5EF4-FFF2-40B4-BE49-F238E27FC236}">
                  <a16:creationId xmlns:a16="http://schemas.microsoft.com/office/drawing/2014/main" id="{080BFFA1-65A7-9D21-316E-734122A55440}"/>
                </a:ext>
              </a:extLst>
            </xdr:cNvPr>
            <xdr:cNvPicPr>
              <a:picLocks noChangeAspect="1" noChangeArrowheads="1"/>
              <a:extLst>
                <a:ext uri="{84589F7E-364E-4C9E-8A38-B11213B215E9}">
                  <a14:cameraTool cellRange="Ram_3!$AA$6:$AP$28" spid="_x0000_s2695577"/>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296" name="Obrázek 61">
              <a:extLst>
                <a:ext uri="{FF2B5EF4-FFF2-40B4-BE49-F238E27FC236}">
                  <a16:creationId xmlns:a16="http://schemas.microsoft.com/office/drawing/2014/main" id="{0065B5F1-D421-4577-84E1-7933DEC142C5}"/>
                </a:ext>
              </a:extLst>
            </xdr:cNvPr>
            <xdr:cNvPicPr>
              <a:picLocks noChangeAspect="1" noChangeArrowheads="1"/>
              <a:extLst>
                <a:ext uri="{84589F7E-364E-4C9E-8A38-B11213B215E9}">
                  <a14:cameraTool cellRange="Ram_4!$AA$6:$AP$28" spid="_x0000_s2695578"/>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297" name="Obrázek 63">
              <a:extLst>
                <a:ext uri="{FF2B5EF4-FFF2-40B4-BE49-F238E27FC236}">
                  <a16:creationId xmlns:a16="http://schemas.microsoft.com/office/drawing/2014/main" id="{BD4752B0-D83D-5396-EF46-08CDCFD8723D}"/>
                </a:ext>
              </a:extLst>
            </xdr:cNvPr>
            <xdr:cNvPicPr>
              <a:picLocks noChangeAspect="1" noChangeArrowheads="1"/>
              <a:extLst>
                <a:ext uri="{84589F7E-364E-4C9E-8A38-B11213B215E9}">
                  <a14:cameraTool cellRange="Ram_5!$AA$6:$AP$28" spid="_x0000_s2695579"/>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298" name="Obrázek 65">
              <a:extLst>
                <a:ext uri="{FF2B5EF4-FFF2-40B4-BE49-F238E27FC236}">
                  <a16:creationId xmlns:a16="http://schemas.microsoft.com/office/drawing/2014/main" id="{CEDB763C-CE5B-A91C-FF56-A3B86C4DAA54}"/>
                </a:ext>
              </a:extLst>
            </xdr:cNvPr>
            <xdr:cNvPicPr>
              <a:picLocks noChangeAspect="1" noChangeArrowheads="1"/>
              <a:extLst>
                <a:ext uri="{84589F7E-364E-4C9E-8A38-B11213B215E9}">
                  <a14:cameraTool cellRange="Ram_6!$AA$6:$AP$28" spid="_x0000_s2695580"/>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299" name="Obrázek 68">
              <a:extLst>
                <a:ext uri="{FF2B5EF4-FFF2-40B4-BE49-F238E27FC236}">
                  <a16:creationId xmlns:a16="http://schemas.microsoft.com/office/drawing/2014/main" id="{1D516C6A-381C-0E8E-3A09-2D49D45D0AE9}"/>
                </a:ext>
              </a:extLst>
            </xdr:cNvPr>
            <xdr:cNvPicPr>
              <a:picLocks noChangeAspect="1" noChangeArrowheads="1"/>
              <a:extLst>
                <a:ext uri="{84589F7E-364E-4C9E-8A38-B11213B215E9}">
                  <a14:cameraTool cellRange="Ram_1!$S$25" spid="_x0000_s2695581"/>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00" name="Obrázek 69">
              <a:extLst>
                <a:ext uri="{FF2B5EF4-FFF2-40B4-BE49-F238E27FC236}">
                  <a16:creationId xmlns:a16="http://schemas.microsoft.com/office/drawing/2014/main" id="{BB29CE12-880A-9ACA-1377-7A78B9C21947}"/>
                </a:ext>
              </a:extLst>
            </xdr:cNvPr>
            <xdr:cNvPicPr>
              <a:picLocks noChangeAspect="1" noChangeArrowheads="1"/>
              <a:extLst>
                <a:ext uri="{84589F7E-364E-4C9E-8A38-B11213B215E9}">
                  <a14:cameraTool cellRange="Ram_2!$S$25" spid="_x0000_s2695582"/>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01" name="Obrázek 70">
              <a:extLst>
                <a:ext uri="{FF2B5EF4-FFF2-40B4-BE49-F238E27FC236}">
                  <a16:creationId xmlns:a16="http://schemas.microsoft.com/office/drawing/2014/main" id="{AFB73532-1EFC-F47E-5732-4F05D9D729D6}"/>
                </a:ext>
              </a:extLst>
            </xdr:cNvPr>
            <xdr:cNvPicPr>
              <a:picLocks noChangeAspect="1" noChangeArrowheads="1"/>
              <a:extLst>
                <a:ext uri="{84589F7E-364E-4C9E-8A38-B11213B215E9}">
                  <a14:cameraTool cellRange="Ram_3!$S$25" spid="_x0000_s2695583"/>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02" name="Obrázek 71">
              <a:extLst>
                <a:ext uri="{FF2B5EF4-FFF2-40B4-BE49-F238E27FC236}">
                  <a16:creationId xmlns:a16="http://schemas.microsoft.com/office/drawing/2014/main" id="{716B118E-9339-1E72-B500-2B3447DBDCF9}"/>
                </a:ext>
              </a:extLst>
            </xdr:cNvPr>
            <xdr:cNvPicPr>
              <a:picLocks noChangeAspect="1" noChangeArrowheads="1"/>
              <a:extLst>
                <a:ext uri="{84589F7E-364E-4C9E-8A38-B11213B215E9}">
                  <a14:cameraTool cellRange="Ram_4!$S$25" spid="_x0000_s2695584"/>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03" name="Obrázek 72">
              <a:extLst>
                <a:ext uri="{FF2B5EF4-FFF2-40B4-BE49-F238E27FC236}">
                  <a16:creationId xmlns:a16="http://schemas.microsoft.com/office/drawing/2014/main" id="{5F2C5C5A-0886-E352-E780-3B4CB89941AB}"/>
                </a:ext>
              </a:extLst>
            </xdr:cNvPr>
            <xdr:cNvPicPr>
              <a:picLocks noChangeAspect="1" noChangeArrowheads="1"/>
              <a:extLst>
                <a:ext uri="{84589F7E-364E-4C9E-8A38-B11213B215E9}">
                  <a14:cameraTool cellRange="Ram_5!$S$25" spid="_x0000_s2695585"/>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04" name="Obrázek 74">
              <a:extLst>
                <a:ext uri="{FF2B5EF4-FFF2-40B4-BE49-F238E27FC236}">
                  <a16:creationId xmlns:a16="http://schemas.microsoft.com/office/drawing/2014/main" id="{E5345598-46A2-5A50-E083-6BE689628549}"/>
                </a:ext>
              </a:extLst>
            </xdr:cNvPr>
            <xdr:cNvPicPr>
              <a:picLocks noChangeAspect="1" noChangeArrowheads="1"/>
              <a:extLst>
                <a:ext uri="{84589F7E-364E-4C9E-8A38-B11213B215E9}">
                  <a14:cameraTool cellRange="Ram_1!$AA$6:$AP$28" spid="_x0000_s2695586"/>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05" name="Obrázek 75">
              <a:extLst>
                <a:ext uri="{FF2B5EF4-FFF2-40B4-BE49-F238E27FC236}">
                  <a16:creationId xmlns:a16="http://schemas.microsoft.com/office/drawing/2014/main" id="{92428939-8118-2744-605E-715563ABF9FE}"/>
                </a:ext>
              </a:extLst>
            </xdr:cNvPr>
            <xdr:cNvPicPr>
              <a:picLocks noChangeAspect="1" noChangeArrowheads="1"/>
              <a:extLst>
                <a:ext uri="{84589F7E-364E-4C9E-8A38-B11213B215E9}">
                  <a14:cameraTool cellRange="Ram_6!$S$25" spid="_x0000_s2695587"/>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306" name="Picture 64090">
              <a:extLst>
                <a:ext uri="{FF2B5EF4-FFF2-40B4-BE49-F238E27FC236}">
                  <a16:creationId xmlns:a16="http://schemas.microsoft.com/office/drawing/2014/main" id="{B9603010-6C03-36DE-4733-DC884D0AC00F}"/>
                </a:ext>
              </a:extLst>
            </xdr:cNvPr>
            <xdr:cNvPicPr>
              <a:picLocks noChangeAspect="1" noChangeArrowheads="1"/>
              <a:extLst>
                <a:ext uri="{84589F7E-364E-4C9E-8A38-B11213B215E9}">
                  <a14:cameraTool cellRange="Ram_1!$S$25" spid="_x0000_s2695588"/>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307" name="Picture 64091">
              <a:extLst>
                <a:ext uri="{FF2B5EF4-FFF2-40B4-BE49-F238E27FC236}">
                  <a16:creationId xmlns:a16="http://schemas.microsoft.com/office/drawing/2014/main" id="{427398FC-F676-B0F4-27F1-F30ADE22665E}"/>
                </a:ext>
              </a:extLst>
            </xdr:cNvPr>
            <xdr:cNvPicPr>
              <a:picLocks noChangeAspect="1" noChangeArrowheads="1"/>
              <a:extLst>
                <a:ext uri="{84589F7E-364E-4C9E-8A38-B11213B215E9}">
                  <a14:cameraTool cellRange="Ram_2!$AA$6:$AP$28" spid="_x0000_s2695589"/>
                </a:ext>
              </a:extLst>
            </xdr:cNvPicPr>
          </xdr:nvPicPr>
          <xdr:blipFill>
            <a:blip xmlns:r="http://schemas.openxmlformats.org/officeDocument/2006/relationships" r:embed="rId9"/>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308" name="Picture 64092">
              <a:extLst>
                <a:ext uri="{FF2B5EF4-FFF2-40B4-BE49-F238E27FC236}">
                  <a16:creationId xmlns:a16="http://schemas.microsoft.com/office/drawing/2014/main" id="{FF269DF0-953C-E105-8B77-E33198537738}"/>
                </a:ext>
              </a:extLst>
            </xdr:cNvPr>
            <xdr:cNvPicPr>
              <a:picLocks noChangeAspect="1" noChangeArrowheads="1"/>
              <a:extLst>
                <a:ext uri="{84589F7E-364E-4C9E-8A38-B11213B215E9}">
                  <a14:cameraTool cellRange="Ram_3!$AA$6:$AP$28" spid="_x0000_s2695590"/>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309" name="Picture 64093">
              <a:extLst>
                <a:ext uri="{FF2B5EF4-FFF2-40B4-BE49-F238E27FC236}">
                  <a16:creationId xmlns:a16="http://schemas.microsoft.com/office/drawing/2014/main" id="{93283A8F-E824-0EBC-4C62-2A42DBBD6A74}"/>
                </a:ext>
              </a:extLst>
            </xdr:cNvPr>
            <xdr:cNvPicPr>
              <a:picLocks noChangeAspect="1" noChangeArrowheads="1"/>
              <a:extLst>
                <a:ext uri="{84589F7E-364E-4C9E-8A38-B11213B215E9}">
                  <a14:cameraTool cellRange="Ram_4!$AA$6:$AP$28" spid="_x0000_s2695591"/>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310" name="Picture 64094">
              <a:extLst>
                <a:ext uri="{FF2B5EF4-FFF2-40B4-BE49-F238E27FC236}">
                  <a16:creationId xmlns:a16="http://schemas.microsoft.com/office/drawing/2014/main" id="{87EEC5CD-2E32-4EB9-6B00-0CFBF7FB368A}"/>
                </a:ext>
              </a:extLst>
            </xdr:cNvPr>
            <xdr:cNvPicPr>
              <a:picLocks noChangeAspect="1" noChangeArrowheads="1"/>
              <a:extLst>
                <a:ext uri="{84589F7E-364E-4C9E-8A38-B11213B215E9}">
                  <a14:cameraTool cellRange="Ram_5!$AA$6:$AP$28" spid="_x0000_s2695592"/>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311" name="Picture 64095">
              <a:extLst>
                <a:ext uri="{FF2B5EF4-FFF2-40B4-BE49-F238E27FC236}">
                  <a16:creationId xmlns:a16="http://schemas.microsoft.com/office/drawing/2014/main" id="{DAF3DB7A-D086-2BC5-242D-D994A877D3FB}"/>
                </a:ext>
              </a:extLst>
            </xdr:cNvPr>
            <xdr:cNvPicPr>
              <a:picLocks noChangeAspect="1" noChangeArrowheads="1"/>
              <a:extLst>
                <a:ext uri="{84589F7E-364E-4C9E-8A38-B11213B215E9}">
                  <a14:cameraTool cellRange="Ram_6!$AA$6:$AP$28" spid="_x0000_s2695593"/>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312" name="Picture 64096">
              <a:extLst>
                <a:ext uri="{FF2B5EF4-FFF2-40B4-BE49-F238E27FC236}">
                  <a16:creationId xmlns:a16="http://schemas.microsoft.com/office/drawing/2014/main" id="{92B0F4BF-A016-7D20-853E-978375879A24}"/>
                </a:ext>
              </a:extLst>
            </xdr:cNvPr>
            <xdr:cNvPicPr>
              <a:picLocks noChangeAspect="1" noChangeArrowheads="1"/>
              <a:extLst>
                <a:ext uri="{84589F7E-364E-4C9E-8A38-B11213B215E9}">
                  <a14:cameraTool cellRange="Ram_1!$S$25" spid="_x0000_s2695594"/>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13" name="Picture 64097">
              <a:extLst>
                <a:ext uri="{FF2B5EF4-FFF2-40B4-BE49-F238E27FC236}">
                  <a16:creationId xmlns:a16="http://schemas.microsoft.com/office/drawing/2014/main" id="{AC6C61DD-60D9-5048-56F1-58D57CFCB3B7}"/>
                </a:ext>
              </a:extLst>
            </xdr:cNvPr>
            <xdr:cNvPicPr>
              <a:picLocks noChangeAspect="1" noChangeArrowheads="1"/>
              <a:extLst>
                <a:ext uri="{84589F7E-364E-4C9E-8A38-B11213B215E9}">
                  <a14:cameraTool cellRange="Ram_2!$S$25" spid="_x0000_s2695595"/>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14" name="Picture 64098">
              <a:extLst>
                <a:ext uri="{FF2B5EF4-FFF2-40B4-BE49-F238E27FC236}">
                  <a16:creationId xmlns:a16="http://schemas.microsoft.com/office/drawing/2014/main" id="{C4362C3D-6384-AA08-743B-2C59412960EC}"/>
                </a:ext>
              </a:extLst>
            </xdr:cNvPr>
            <xdr:cNvPicPr>
              <a:picLocks noChangeAspect="1" noChangeArrowheads="1"/>
              <a:extLst>
                <a:ext uri="{84589F7E-364E-4C9E-8A38-B11213B215E9}">
                  <a14:cameraTool cellRange="Ram_3!$S$25" spid="_x0000_s2695596"/>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15" name="Picture 64099">
              <a:extLst>
                <a:ext uri="{FF2B5EF4-FFF2-40B4-BE49-F238E27FC236}">
                  <a16:creationId xmlns:a16="http://schemas.microsoft.com/office/drawing/2014/main" id="{C9BE171A-6070-749F-424A-7C91509E80D7}"/>
                </a:ext>
              </a:extLst>
            </xdr:cNvPr>
            <xdr:cNvPicPr>
              <a:picLocks noChangeAspect="1" noChangeArrowheads="1"/>
              <a:extLst>
                <a:ext uri="{84589F7E-364E-4C9E-8A38-B11213B215E9}">
                  <a14:cameraTool cellRange="Ram_4!$S$25" spid="_x0000_s2695597"/>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16" name="Picture 64100">
              <a:extLst>
                <a:ext uri="{FF2B5EF4-FFF2-40B4-BE49-F238E27FC236}">
                  <a16:creationId xmlns:a16="http://schemas.microsoft.com/office/drawing/2014/main" id="{DA4A481F-7AEE-7D17-2D4F-0733B15BEF72}"/>
                </a:ext>
              </a:extLst>
            </xdr:cNvPr>
            <xdr:cNvPicPr>
              <a:picLocks noChangeAspect="1" noChangeArrowheads="1"/>
              <a:extLst>
                <a:ext uri="{84589F7E-364E-4C9E-8A38-B11213B215E9}">
                  <a14:cameraTool cellRange="Ram_5!$S$25" spid="_x0000_s2695598"/>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17" name="Picture 64101">
              <a:extLst>
                <a:ext uri="{FF2B5EF4-FFF2-40B4-BE49-F238E27FC236}">
                  <a16:creationId xmlns:a16="http://schemas.microsoft.com/office/drawing/2014/main" id="{D430DBB8-A5FC-87B6-69AD-2B504A4BF20D}"/>
                </a:ext>
              </a:extLst>
            </xdr:cNvPr>
            <xdr:cNvPicPr>
              <a:picLocks noChangeAspect="1" noChangeArrowheads="1"/>
              <a:extLst>
                <a:ext uri="{84589F7E-364E-4C9E-8A38-B11213B215E9}">
                  <a14:cameraTool cellRange="Ram_1!$AA$6:$AP$28" spid="_x0000_s2695599"/>
                </a:ext>
              </a:extLst>
            </xdr:cNvPicPr>
          </xdr:nvPicPr>
          <xdr:blipFill>
            <a:blip xmlns:r="http://schemas.openxmlformats.org/officeDocument/2006/relationships" r:embed="rId8"/>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18" name="Picture 64102">
              <a:extLst>
                <a:ext uri="{FF2B5EF4-FFF2-40B4-BE49-F238E27FC236}">
                  <a16:creationId xmlns:a16="http://schemas.microsoft.com/office/drawing/2014/main" id="{967B2DD9-6A46-0D84-D353-78AF14044F83}"/>
                </a:ext>
              </a:extLst>
            </xdr:cNvPr>
            <xdr:cNvPicPr>
              <a:picLocks noChangeAspect="1" noChangeArrowheads="1"/>
              <a:extLst>
                <a:ext uri="{84589F7E-364E-4C9E-8A38-B11213B215E9}">
                  <a14:cameraTool cellRange="Ram_6!$S$25" spid="_x0000_s2695600"/>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12</xdr:col>
      <xdr:colOff>137308</xdr:colOff>
      <xdr:row>55</xdr:row>
      <xdr:rowOff>195447</xdr:rowOff>
    </xdr:from>
    <xdr:to>
      <xdr:col>19</xdr:col>
      <xdr:colOff>571501</xdr:colOff>
      <xdr:row>70</xdr:row>
      <xdr:rowOff>138544</xdr:rowOff>
    </xdr:to>
    <xdr:sp macro="" textlink="">
      <xdr:nvSpPr>
        <xdr:cNvPr id="3" name="TextovéPole 2">
          <a:extLst>
            <a:ext uri="{FF2B5EF4-FFF2-40B4-BE49-F238E27FC236}">
              <a16:creationId xmlns:a16="http://schemas.microsoft.com/office/drawing/2014/main" id="{5DCF367F-D118-4AD9-AEFA-95CDE205CBA1}"/>
            </a:ext>
          </a:extLst>
        </xdr:cNvPr>
        <xdr:cNvSpPr txBox="1"/>
      </xdr:nvSpPr>
      <xdr:spPr>
        <a:xfrm>
          <a:off x="2094263" y="8923811"/>
          <a:ext cx="6045283" cy="1501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Jakmile</a:t>
          </a:r>
          <a:r>
            <a:rPr lang="cs-CZ" sz="1100" baseline="0"/>
            <a:t> má aspoň jeden rámeček velikost na paletu - vždy se vše naskládá na adekvátní paletu a vybere nejnižší cena</a:t>
          </a:r>
        </a:p>
        <a:p>
          <a:endParaRPr lang="cs-CZ" sz="1100" baseline="0"/>
        </a:p>
        <a:p>
          <a:r>
            <a:rPr lang="cs-CZ" sz="1100" baseline="0"/>
            <a:t>Pokud je 3  a více balíků B - vyplatí se paleta </a:t>
          </a:r>
          <a:endParaRPr lang="cs-CZ" sz="1100" b="1" baseline="0"/>
        </a:p>
        <a:p>
          <a:r>
            <a:rPr lang="cs-CZ" sz="1100" b="0" baseline="0"/>
            <a:t>Pokud je méně než 3 balíků B  pak se vyplatí kombinace balíku A a B</a:t>
          </a:r>
          <a:endParaRPr lang="cs-CZ" sz="1100" b="0" baseline="0">
            <a:solidFill>
              <a:srgbClr val="FF0000"/>
            </a:solidFill>
          </a:endParaRPr>
        </a:p>
        <a:p>
          <a:endParaRPr lang="cs-CZ" sz="1100" baseline="0"/>
        </a:p>
        <a:p>
          <a:r>
            <a:rPr lang="cs-CZ" sz="1100"/>
            <a:t>Pokud je  aspoň jeden rámeček do balíku B, lze</a:t>
          </a:r>
          <a:r>
            <a:rPr lang="cs-CZ" sz="1100" baseline="0"/>
            <a:t> k němu přihodit balík rámeček z balíku A.</a:t>
          </a:r>
          <a:endParaRPr lang="cs-CZ" sz="1100"/>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mailto:export@demos-trade.com" TargetMode="External"/><Relationship Id="rId2" Type="http://schemas.openxmlformats.org/officeDocument/2006/relationships/hyperlink" Target="mailto:objednavky@demos-trade.com" TargetMode="External"/><Relationship Id="rId1" Type="http://schemas.openxmlformats.org/officeDocument/2006/relationships/hyperlink" Target="mailto:objednavkySK@demos-trade.com"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1.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8.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trlProp" Target="../ctrlProps/ctrlProp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0.bin"/><Relationship Id="rId4" Type="http://schemas.openxmlformats.org/officeDocument/2006/relationships/ctrlProp" Target="../ctrlProps/ctrlProp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3934-51DB-4384-923B-228C0D0CEC72}">
  <sheetPr codeName="List31">
    <tabColor rgb="FF92D050"/>
  </sheetPr>
  <dimension ref="A1:AF39"/>
  <sheetViews>
    <sheetView showGridLines="0" showRowColHeaders="0" tabSelected="1" workbookViewId="0"/>
  </sheetViews>
  <sheetFormatPr defaultColWidth="0" defaultRowHeight="11.85" customHeight="1" zeroHeight="1"/>
  <cols>
    <col min="1" max="1" width="8" style="128" customWidth="1"/>
    <col min="2" max="2" width="3" style="128" customWidth="1"/>
    <col min="3" max="3" width="8" style="128" customWidth="1"/>
    <col min="4" max="4" width="3" style="128" customWidth="1"/>
    <col min="5" max="5" width="8" style="128" customWidth="1"/>
    <col min="6" max="6" width="3" style="128" customWidth="1"/>
    <col min="7" max="7" width="8" style="128" customWidth="1"/>
    <col min="8" max="9" width="2" style="128" customWidth="1"/>
    <col min="10" max="10" width="3.42578125" style="128" customWidth="1"/>
    <col min="11" max="11" width="7.5703125" style="128" customWidth="1"/>
    <col min="12" max="12" width="3.140625" style="128" customWidth="1"/>
    <col min="13" max="13" width="7.5703125" style="128" customWidth="1"/>
    <col min="14" max="14" width="3.140625" style="128" customWidth="1"/>
    <col min="15" max="15" width="6.5703125" style="128" customWidth="1"/>
    <col min="16" max="16" width="5.5703125" style="128" customWidth="1"/>
    <col min="17" max="17" width="8" style="128" customWidth="1"/>
    <col min="18" max="18" width="3.140625" style="128" customWidth="1"/>
    <col min="19" max="20" width="8" style="128" customWidth="1"/>
    <col min="21" max="21" width="5.7109375" style="128" customWidth="1"/>
    <col min="22" max="22" width="8" style="128" customWidth="1"/>
    <col min="23" max="23" width="3.5703125" style="128" hidden="1" customWidth="1"/>
    <col min="24" max="32" width="0" style="128" hidden="1" customWidth="1"/>
    <col min="33" max="16384" width="8" style="128" hidden="1"/>
  </cols>
  <sheetData>
    <row r="1" spans="1:32" ht="11.85" customHeight="1">
      <c r="A1" s="127" t="s">
        <v>375</v>
      </c>
      <c r="B1" s="127"/>
      <c r="C1" s="127"/>
      <c r="D1" s="127"/>
      <c r="E1" s="127"/>
      <c r="F1" s="127"/>
      <c r="G1" s="127"/>
      <c r="H1" s="127"/>
      <c r="I1" s="127"/>
      <c r="J1" s="127"/>
      <c r="K1" s="127"/>
      <c r="L1" s="127"/>
      <c r="M1" s="127"/>
      <c r="N1" s="127"/>
      <c r="O1" s="127"/>
      <c r="P1" s="127"/>
      <c r="Q1" s="127"/>
      <c r="R1" s="127"/>
      <c r="S1" s="127"/>
    </row>
    <row r="2" spans="1:32" ht="11.85" customHeight="1">
      <c r="A2" s="129"/>
      <c r="B2" s="129"/>
      <c r="C2" s="129"/>
      <c r="D2" s="129"/>
      <c r="E2" s="129"/>
      <c r="F2" s="129"/>
      <c r="G2" s="129"/>
      <c r="H2" s="129"/>
      <c r="I2" s="129"/>
      <c r="J2" s="129"/>
      <c r="K2" s="129"/>
      <c r="L2" s="129"/>
      <c r="M2" s="129"/>
      <c r="N2" s="129"/>
      <c r="O2" s="129"/>
      <c r="P2" s="129"/>
      <c r="Q2" s="129"/>
      <c r="R2" s="129"/>
      <c r="S2" s="129"/>
      <c r="T2" s="129"/>
      <c r="U2" s="129"/>
      <c r="V2" s="488" t="str">
        <f>VLOOKUP(V39,kombinace_1!$EJ$3:$EK$8,2,0)</f>
        <v>PL</v>
      </c>
    </row>
    <row r="3" spans="1:32" ht="11.85" customHeight="1">
      <c r="A3" s="129"/>
      <c r="B3" s="129"/>
      <c r="C3" s="129"/>
      <c r="D3" s="129"/>
      <c r="E3" s="129"/>
      <c r="F3" s="129"/>
      <c r="G3" s="129"/>
      <c r="H3" s="129"/>
      <c r="I3" s="129"/>
      <c r="J3" s="129"/>
      <c r="K3" s="129"/>
      <c r="L3" s="129"/>
      <c r="M3" s="129"/>
      <c r="N3" s="129"/>
      <c r="O3" s="129"/>
      <c r="P3" s="129"/>
      <c r="Q3" s="129"/>
      <c r="R3" s="129"/>
      <c r="S3" s="129"/>
      <c r="T3" s="129"/>
      <c r="U3" s="129"/>
      <c r="V3" s="488"/>
    </row>
    <row r="4" spans="1:32" ht="24" customHeight="1">
      <c r="K4" s="486" t="str">
        <f>'Translate&amp;Prices&amp;Logo'!$B$247</f>
        <v>Formularz zamówienia ramek aluminiowych</v>
      </c>
      <c r="L4" s="486"/>
      <c r="M4" s="486"/>
      <c r="N4" s="486"/>
      <c r="O4" s="486"/>
      <c r="P4" s="486"/>
      <c r="Q4" s="486"/>
      <c r="R4" s="486"/>
      <c r="S4" s="486"/>
      <c r="T4" s="486"/>
      <c r="U4" s="486"/>
      <c r="V4" s="486"/>
    </row>
    <row r="5" spans="1:32" ht="11.85" customHeight="1">
      <c r="K5" s="486"/>
      <c r="L5" s="486"/>
      <c r="M5" s="486"/>
      <c r="N5" s="486"/>
      <c r="O5" s="486"/>
      <c r="P5" s="486"/>
      <c r="Q5" s="486"/>
      <c r="R5" s="486"/>
      <c r="S5" s="486"/>
      <c r="T5" s="486"/>
      <c r="U5" s="486"/>
      <c r="V5" s="486"/>
    </row>
    <row r="6" spans="1:32" ht="11.85" customHeight="1">
      <c r="K6" s="487"/>
      <c r="L6" s="487"/>
      <c r="M6" s="487"/>
      <c r="N6" s="487"/>
      <c r="O6" s="487"/>
      <c r="P6" s="487"/>
      <c r="Q6" s="487"/>
      <c r="R6" s="487"/>
      <c r="S6" s="487"/>
      <c r="T6" s="487"/>
      <c r="U6" s="487"/>
      <c r="V6" s="487"/>
    </row>
    <row r="7" spans="1:32" ht="11.85" customHeight="1">
      <c r="C7" s="151"/>
      <c r="D7" s="151"/>
      <c r="E7" s="151"/>
      <c r="F7" s="151"/>
      <c r="G7" s="151"/>
      <c r="H7" s="151"/>
      <c r="I7" s="151"/>
      <c r="J7" s="151"/>
      <c r="K7" s="151"/>
      <c r="L7" s="151"/>
      <c r="M7" s="151"/>
      <c r="N7" s="151"/>
      <c r="O7" s="151"/>
      <c r="P7" s="151"/>
      <c r="Q7" s="151"/>
      <c r="R7" s="151"/>
      <c r="S7" s="151"/>
    </row>
    <row r="8" spans="1:32" ht="11.85" customHeight="1">
      <c r="C8" s="151"/>
      <c r="D8" s="151"/>
      <c r="E8" s="151"/>
      <c r="F8" s="151"/>
      <c r="G8" s="151"/>
      <c r="H8" s="151"/>
      <c r="I8" s="151"/>
      <c r="J8" s="151"/>
      <c r="K8" s="151"/>
      <c r="L8" s="151"/>
      <c r="M8" s="151"/>
      <c r="N8" s="151"/>
      <c r="O8" s="151"/>
      <c r="P8" s="151"/>
      <c r="Q8" s="151"/>
      <c r="R8" s="151"/>
      <c r="S8" s="151"/>
    </row>
    <row r="9" spans="1:32" ht="11.85" customHeight="1"/>
    <row r="10" spans="1:32" ht="11.85" customHeight="1"/>
    <row r="11" spans="1:32" ht="20.85" customHeight="1">
      <c r="F11" s="130"/>
      <c r="G11" s="130"/>
      <c r="H11" s="130"/>
      <c r="I11" s="130"/>
    </row>
    <row r="12" spans="1:32" ht="11.85" customHeight="1"/>
    <row r="13" spans="1:32" ht="18.600000000000001" customHeight="1"/>
    <row r="14" spans="1:32" ht="15" customHeight="1">
      <c r="A14" s="127"/>
      <c r="B14" s="485" t="str">
        <f>'Translate&amp;Prices&amp;Logo'!$B$310</f>
        <v>Zwykłe ramki</v>
      </c>
      <c r="C14" s="485"/>
      <c r="D14" s="485"/>
      <c r="E14" s="485"/>
      <c r="F14" s="485"/>
      <c r="G14" s="485"/>
      <c r="J14" s="127"/>
      <c r="K14" s="127"/>
      <c r="L14" s="127"/>
      <c r="Q14" s="485" t="str">
        <f>'Translate&amp;Prices&amp;Logo'!$B$311</f>
        <v>Ramki przesuwne</v>
      </c>
      <c r="R14" s="485"/>
      <c r="S14" s="485"/>
      <c r="T14" s="485"/>
      <c r="U14" s="485"/>
      <c r="V14" s="6"/>
      <c r="W14" s="6"/>
      <c r="X14" s="6"/>
      <c r="AE14" s="6"/>
      <c r="AF14" s="6"/>
    </row>
    <row r="15" spans="1:32" ht="15" customHeight="1">
      <c r="A15" s="127"/>
      <c r="B15" s="485"/>
      <c r="C15" s="485"/>
      <c r="D15" s="485"/>
      <c r="E15" s="485"/>
      <c r="F15" s="485"/>
      <c r="G15" s="485"/>
      <c r="J15" s="127"/>
      <c r="K15" s="127"/>
      <c r="L15" s="127"/>
      <c r="Q15" s="485"/>
      <c r="R15" s="485"/>
      <c r="S15" s="485"/>
      <c r="T15" s="485"/>
      <c r="U15" s="485"/>
      <c r="AE15" s="6"/>
      <c r="AF15" s="6"/>
    </row>
    <row r="16" spans="1:32" ht="11.85" customHeight="1">
      <c r="Z16" s="6"/>
      <c r="AA16" s="6"/>
      <c r="AB16" s="6"/>
      <c r="AC16" s="6"/>
      <c r="AD16" s="6"/>
      <c r="AE16" s="6"/>
      <c r="AF16" s="6"/>
    </row>
    <row r="17" spans="1:32" ht="11.85" customHeight="1">
      <c r="AA17" s="6"/>
      <c r="AB17" s="6"/>
      <c r="AC17" s="6"/>
      <c r="AD17" s="6"/>
      <c r="AE17" s="6"/>
      <c r="AF17" s="6"/>
    </row>
    <row r="18" spans="1:32" ht="11.85" customHeight="1">
      <c r="Z18" s="6"/>
      <c r="AA18" s="6"/>
      <c r="AB18" s="6"/>
      <c r="AC18" s="6"/>
      <c r="AD18" s="6"/>
      <c r="AE18" s="6"/>
      <c r="AF18" s="6"/>
    </row>
    <row r="19" spans="1:32" ht="11.85" customHeight="1">
      <c r="Z19" s="6"/>
      <c r="AA19" s="6"/>
      <c r="AB19" s="6"/>
      <c r="AC19" s="6"/>
      <c r="AD19" s="6"/>
      <c r="AE19" s="6"/>
      <c r="AF19" s="6"/>
    </row>
    <row r="20" spans="1:32" ht="11.85" customHeight="1">
      <c r="T20" s="131"/>
      <c r="U20" s="131"/>
      <c r="V20" s="131"/>
      <c r="W20" s="6"/>
      <c r="X20" s="6"/>
      <c r="Y20" s="6"/>
      <c r="Z20" s="6"/>
      <c r="AA20" s="6"/>
      <c r="AB20" s="6"/>
      <c r="AC20" s="6"/>
      <c r="AD20" s="6"/>
      <c r="AE20" s="6"/>
      <c r="AF20" s="6"/>
    </row>
    <row r="21" spans="1:32" ht="11.85" customHeight="1">
      <c r="J21" s="485" t="str">
        <f>'Translate&amp;Prices&amp;Logo'!$B$583</f>
        <v>Zamówienie szkła</v>
      </c>
      <c r="K21" s="485"/>
      <c r="L21" s="485"/>
      <c r="M21" s="485"/>
      <c r="N21" s="485"/>
      <c r="O21" s="485"/>
      <c r="Z21" s="6"/>
      <c r="AA21" s="6"/>
      <c r="AB21" s="6"/>
      <c r="AC21" s="6"/>
      <c r="AD21" s="6"/>
      <c r="AE21" s="6"/>
      <c r="AF21" s="6"/>
    </row>
    <row r="22" spans="1:32" ht="11.85" customHeight="1">
      <c r="J22" s="485"/>
      <c r="K22" s="485"/>
      <c r="L22" s="485"/>
      <c r="M22" s="485"/>
      <c r="N22" s="485"/>
      <c r="O22" s="485"/>
      <c r="T22" s="131"/>
      <c r="U22" s="131"/>
      <c r="V22" s="131"/>
      <c r="W22" s="6"/>
      <c r="X22" s="6"/>
      <c r="Y22" s="6"/>
      <c r="Z22" s="6"/>
      <c r="AA22" s="6"/>
      <c r="AB22" s="6"/>
      <c r="AC22" s="6"/>
      <c r="AD22" s="6"/>
      <c r="AE22" s="6"/>
      <c r="AF22" s="6"/>
    </row>
    <row r="23" spans="1:32" ht="11.85" customHeight="1">
      <c r="Z23" s="6"/>
      <c r="AA23" s="6"/>
      <c r="AB23" s="6"/>
      <c r="AC23" s="6"/>
      <c r="AD23" s="6"/>
      <c r="AE23" s="6"/>
      <c r="AF23" s="6"/>
    </row>
    <row r="24" spans="1:32" ht="11.85" customHeight="1">
      <c r="T24" s="131"/>
      <c r="U24" s="131"/>
      <c r="V24" s="131"/>
      <c r="W24" s="6"/>
      <c r="X24" s="6"/>
      <c r="Y24" s="6"/>
      <c r="Z24" s="6"/>
    </row>
    <row r="25" spans="1:32" ht="11.85" customHeight="1">
      <c r="Z25" s="6"/>
    </row>
    <row r="26" spans="1:32" ht="11.85" customHeight="1">
      <c r="T26" s="131"/>
      <c r="U26" s="131"/>
      <c r="V26" s="131"/>
      <c r="W26" s="6"/>
      <c r="X26" s="6"/>
      <c r="Y26" s="6"/>
      <c r="Z26" s="6"/>
    </row>
    <row r="27" spans="1:32" ht="15">
      <c r="E27" s="132"/>
      <c r="Z27" s="6"/>
    </row>
    <row r="28" spans="1:32" ht="15" customHeight="1">
      <c r="A28" s="127"/>
      <c r="B28" s="485" t="str">
        <f>'Translate&amp;Prices&amp;Logo'!$B$281</f>
        <v>Kolory LACOBEL i MATELAC</v>
      </c>
      <c r="C28" s="485"/>
      <c r="D28" s="485"/>
      <c r="E28" s="485"/>
      <c r="F28" s="485"/>
      <c r="G28" s="485"/>
      <c r="J28" s="127"/>
      <c r="K28" s="127"/>
      <c r="L28" s="127"/>
      <c r="Q28" s="485" t="str">
        <f>'Translate&amp;Prices&amp;Logo'!$B$312</f>
        <v>Rysunki profili i okuć łączących</v>
      </c>
      <c r="R28" s="485"/>
      <c r="S28" s="485"/>
      <c r="T28" s="485"/>
      <c r="U28" s="485"/>
      <c r="V28" s="131"/>
    </row>
    <row r="29" spans="1:32" ht="15" customHeight="1">
      <c r="A29" s="127"/>
      <c r="B29" s="485"/>
      <c r="C29" s="485"/>
      <c r="D29" s="485"/>
      <c r="E29" s="485"/>
      <c r="F29" s="485"/>
      <c r="G29" s="485"/>
      <c r="J29" s="127"/>
      <c r="K29" s="127"/>
      <c r="L29" s="127"/>
      <c r="Q29" s="485"/>
      <c r="R29" s="485"/>
      <c r="S29" s="485"/>
      <c r="T29" s="485"/>
      <c r="U29" s="485"/>
    </row>
    <row r="30" spans="1:32" ht="11.85" customHeight="1">
      <c r="T30" s="131"/>
      <c r="U30" s="131"/>
      <c r="V30" s="131"/>
      <c r="W30" s="6"/>
      <c r="X30" s="6"/>
      <c r="Y30" s="6"/>
      <c r="Z30" s="6"/>
    </row>
    <row r="31" spans="1:32" ht="11.85" customHeight="1">
      <c r="Z31" s="6"/>
    </row>
    <row r="32" spans="1:32" ht="11.85" customHeight="1"/>
    <row r="33" spans="1:22" ht="11.85" customHeight="1"/>
    <row r="34" spans="1:22" ht="11.85" customHeight="1"/>
    <row r="35" spans="1:22" ht="11.85" customHeight="1"/>
    <row r="36" spans="1:22" ht="11.85" customHeight="1"/>
    <row r="37" spans="1:22" ht="11.85" customHeight="1"/>
    <row r="38" spans="1:22" ht="11.85" customHeight="1">
      <c r="A38" s="203" t="str">
        <f>'Translate&amp;Prices&amp;Logo'!$B$249</f>
        <v>Ceny obowiązują od 18.5.2026/Wersja 8.4</v>
      </c>
    </row>
    <row r="39" spans="1:22" ht="11.85" hidden="1" customHeight="1">
      <c r="V39" s="152">
        <v>3</v>
      </c>
    </row>
  </sheetData>
  <sheetProtection algorithmName="SHA-512" hashValue="7la0t0puseTdS2o0DdTa6m1lWmZdJwVJpfxOyC3r5yjW8Q+cGJ5Vc3ARSb5SZobe7bRmp1ahvQ962+CT7YyerA==" saltValue="YbYrkRiFx+X6XU3O/23p5w==" spinCount="100000" sheet="1"/>
  <mergeCells count="7">
    <mergeCell ref="B28:G29"/>
    <mergeCell ref="Q28:U29"/>
    <mergeCell ref="K4:V6"/>
    <mergeCell ref="V2:V3"/>
    <mergeCell ref="B14:G15"/>
    <mergeCell ref="Q14:U15"/>
    <mergeCell ref="J21:O22"/>
  </mergeCells>
  <dataValidations xWindow="1021" yWindow="489" count="1">
    <dataValidation type="list" allowBlank="1" showInputMessage="1" showErrorMessage="1" promptTitle="Upozornění" sqref="V39" xr:uid="{72B387B7-3559-4077-8B18-1F33FFC28C00}">
      <formula1>"1,2,3,4,5,6"</formula1>
    </dataValidation>
  </dataValidations>
  <pageMargins left="0.7" right="0.7" top="0.78740157499999996" bottom="0.78740157499999996"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4567-DC14-458B-8112-B7142CC113E9}">
  <sheetPr codeName="List8">
    <pageSetUpPr autoPageBreaks="0"/>
  </sheetPr>
  <dimension ref="A1:X38"/>
  <sheetViews>
    <sheetView showGridLines="0" showRowColHeaders="0" workbookViewId="0">
      <selection activeCell="K13" sqref="K13:P13"/>
    </sheetView>
  </sheetViews>
  <sheetFormatPr defaultColWidth="0" defaultRowHeight="15" zeroHeight="1"/>
  <cols>
    <col min="1" max="3" width="8.5703125" style="1" customWidth="1"/>
    <col min="4" max="4" width="6.5703125" style="1" customWidth="1"/>
    <col min="5" max="9" width="8.5703125" style="1" customWidth="1"/>
    <col min="10" max="10" width="3.140625" style="1" customWidth="1"/>
    <col min="11" max="12" width="9.85546875" style="1" customWidth="1"/>
    <col min="13" max="16" width="8.5703125" style="1" customWidth="1"/>
    <col min="17" max="17" width="6.5703125" style="1" customWidth="1"/>
    <col min="18" max="19" width="8.5703125" style="1" customWidth="1"/>
    <col min="20" max="20" width="10.5703125" style="1" customWidth="1"/>
    <col min="21" max="16384" width="8.5703125" style="1" hidden="1"/>
  </cols>
  <sheetData>
    <row r="1" spans="1:23">
      <c r="A1" s="38"/>
      <c r="B1" s="38"/>
      <c r="C1" s="38"/>
      <c r="D1" s="38"/>
      <c r="E1" s="38"/>
      <c r="F1" s="38"/>
      <c r="G1" s="38"/>
      <c r="H1" s="38"/>
      <c r="I1" s="38"/>
      <c r="J1" s="38"/>
      <c r="K1" s="38"/>
      <c r="L1" s="38"/>
      <c r="M1" s="38"/>
      <c r="N1" s="38"/>
      <c r="O1" s="38"/>
    </row>
    <row r="2" spans="1:23">
      <c r="A2" s="39"/>
      <c r="B2" s="39"/>
      <c r="C2" s="39"/>
      <c r="D2" s="39"/>
      <c r="E2" s="39"/>
      <c r="F2" s="39"/>
      <c r="G2" s="39"/>
      <c r="H2" s="39"/>
      <c r="I2" s="39"/>
      <c r="J2" s="39"/>
      <c r="K2" s="39"/>
      <c r="L2" s="39"/>
      <c r="M2" s="39"/>
      <c r="N2" s="39"/>
      <c r="O2" s="39"/>
      <c r="P2" s="15"/>
      <c r="Q2" s="491" t="str">
        <f>'Translate&amp;Prices&amp;Logo'!$B$542</f>
        <v>Wprowadzenie</v>
      </c>
      <c r="R2" s="492"/>
      <c r="S2" s="492"/>
      <c r="T2" s="492"/>
    </row>
    <row r="3" spans="1:23">
      <c r="A3" s="39"/>
      <c r="B3" s="39"/>
      <c r="C3" s="39"/>
      <c r="D3" s="39"/>
      <c r="E3" s="39"/>
      <c r="F3" s="39"/>
      <c r="G3" s="39"/>
      <c r="H3" s="39"/>
      <c r="I3" s="39"/>
      <c r="J3" s="39"/>
      <c r="K3" s="39"/>
      <c r="L3" s="39"/>
      <c r="M3" s="39"/>
      <c r="N3" s="39"/>
      <c r="O3" s="39"/>
      <c r="P3" s="15"/>
      <c r="Q3" s="491"/>
      <c r="R3" s="492"/>
      <c r="S3" s="492"/>
      <c r="T3" s="492"/>
    </row>
    <row r="4" spans="1:23">
      <c r="A4" s="38"/>
      <c r="B4" s="38"/>
      <c r="C4" s="38"/>
      <c r="D4" s="38"/>
      <c r="E4" s="38"/>
      <c r="F4" s="38"/>
      <c r="G4" s="38"/>
      <c r="H4" s="38"/>
      <c r="I4" s="38"/>
    </row>
    <row r="5" spans="1:23">
      <c r="A5" s="38"/>
      <c r="B5" s="38"/>
      <c r="C5" s="38"/>
      <c r="D5" s="38"/>
      <c r="E5" s="38"/>
      <c r="F5" s="3" t="str">
        <f>'Translate&amp;Prices&amp;Logo'!$B$304</f>
        <v>Zawsze korzystaj z aktualnej wersji formularza, który jest umieszczony na naszej stronie web.</v>
      </c>
      <c r="G5" s="38"/>
      <c r="H5" s="38"/>
    </row>
    <row r="6" spans="1:23">
      <c r="I6" s="281"/>
      <c r="J6" s="281"/>
      <c r="K6" s="281"/>
      <c r="L6" s="281"/>
      <c r="M6" s="281"/>
      <c r="N6" s="281"/>
      <c r="O6" s="281"/>
      <c r="P6" s="281"/>
      <c r="Q6" s="281"/>
      <c r="R6" s="281"/>
      <c r="S6" s="281"/>
      <c r="T6" s="281"/>
      <c r="U6" s="281"/>
      <c r="V6" s="281"/>
      <c r="W6" s="281"/>
    </row>
    <row r="7" spans="1:23"/>
    <row r="8" spans="1:23" ht="11.1" customHeight="1"/>
    <row r="9" spans="1:23" ht="11.1" customHeight="1">
      <c r="E9" s="58"/>
    </row>
    <row r="10" spans="1:23" ht="12" customHeight="1">
      <c r="E10" s="58" t="str">
        <f>'Translate&amp;Prices&amp;Logo'!B308</f>
        <v>Wpisz proszę dane kontaktowe i kliknij w odpowiednie okienko poniżej.</v>
      </c>
    </row>
    <row r="11" spans="1:23">
      <c r="E11" s="493"/>
      <c r="F11" s="493"/>
      <c r="G11" s="493"/>
      <c r="H11" s="493"/>
      <c r="I11" s="493"/>
      <c r="J11" s="31"/>
      <c r="K11" s="494"/>
      <c r="L11" s="494"/>
      <c r="M11" s="494"/>
      <c r="N11" s="494"/>
      <c r="O11" s="494"/>
      <c r="P11" s="494"/>
    </row>
    <row r="12" spans="1:23"/>
    <row r="13" spans="1:23">
      <c r="E13" s="495" t="str">
        <f>'Translate&amp;Prices&amp;Logo'!$B$251</f>
        <v>Klient</v>
      </c>
      <c r="F13" s="495"/>
      <c r="G13" s="495"/>
      <c r="H13" s="495"/>
      <c r="I13" s="495"/>
      <c r="K13" s="496"/>
      <c r="L13" s="496"/>
      <c r="M13" s="496"/>
      <c r="N13" s="496"/>
      <c r="O13" s="496"/>
      <c r="P13" s="496"/>
    </row>
    <row r="14" spans="1:23">
      <c r="K14" s="29"/>
      <c r="L14" s="29"/>
      <c r="M14" s="29"/>
      <c r="N14" s="29"/>
      <c r="O14" s="29"/>
      <c r="P14" s="29"/>
    </row>
    <row r="15" spans="1:23">
      <c r="E15" s="495" t="str">
        <f>'Translate&amp;Prices&amp;Logo'!$B$255</f>
        <v>NIP</v>
      </c>
      <c r="F15" s="495"/>
      <c r="G15" s="495"/>
      <c r="H15" s="495"/>
      <c r="I15" s="495"/>
      <c r="K15" s="496"/>
      <c r="L15" s="496"/>
      <c r="M15" s="496"/>
      <c r="N15" s="496"/>
      <c r="O15" s="496"/>
      <c r="P15" s="496"/>
    </row>
    <row r="16" spans="1:23">
      <c r="K16" s="29"/>
      <c r="L16" s="29"/>
      <c r="M16" s="29"/>
      <c r="N16" s="29"/>
      <c r="O16" s="29"/>
      <c r="P16" s="29"/>
    </row>
    <row r="17" spans="5:16">
      <c r="E17" s="495" t="str">
        <f>'Translate&amp;Prices&amp;Logo'!$B$252</f>
        <v>Telefon kontaktowy</v>
      </c>
      <c r="F17" s="495"/>
      <c r="G17" s="495"/>
      <c r="H17" s="495"/>
      <c r="I17" s="495"/>
      <c r="K17" s="497"/>
      <c r="L17" s="496"/>
      <c r="M17" s="496"/>
      <c r="N17" s="496"/>
      <c r="O17" s="496"/>
      <c r="P17" s="496"/>
    </row>
    <row r="18" spans="5:16">
      <c r="K18" s="29"/>
      <c r="L18" s="29"/>
      <c r="M18" s="29"/>
      <c r="N18" s="29"/>
      <c r="O18" s="29"/>
      <c r="P18" s="29"/>
    </row>
    <row r="19" spans="5:16">
      <c r="E19" s="495" t="str">
        <f>'Translate&amp;Prices&amp;Logo'!$B$253</f>
        <v>Adres e-mail</v>
      </c>
      <c r="F19" s="495"/>
      <c r="G19" s="495"/>
      <c r="H19" s="495"/>
      <c r="I19" s="495"/>
      <c r="K19" s="496"/>
      <c r="L19" s="496"/>
      <c r="M19" s="496"/>
      <c r="N19" s="496"/>
      <c r="O19" s="496"/>
      <c r="P19" s="496"/>
    </row>
    <row r="20" spans="5:16">
      <c r="K20" s="29"/>
      <c r="L20" s="29"/>
      <c r="M20" s="29"/>
      <c r="N20" s="29"/>
      <c r="O20" s="29"/>
      <c r="P20" s="29"/>
    </row>
    <row r="21" spans="5:16">
      <c r="E21" s="495" t="str">
        <f>'Translate&amp;Prices&amp;Logo'!$B$256</f>
        <v>Rabat na ramki</v>
      </c>
      <c r="F21" s="495"/>
      <c r="G21" s="495"/>
      <c r="H21" s="495"/>
      <c r="I21" s="495"/>
      <c r="K21" s="500"/>
      <c r="L21" s="500"/>
      <c r="M21" s="500"/>
      <c r="N21" s="500"/>
      <c r="O21" s="500"/>
      <c r="P21" s="327" t="s">
        <v>4015</v>
      </c>
    </row>
    <row r="22" spans="5:16" ht="14.25" customHeight="1">
      <c r="K22" s="282">
        <v>0.2</v>
      </c>
      <c r="L22" s="282"/>
      <c r="M22" s="282"/>
      <c r="N22" s="282"/>
      <c r="O22" s="282"/>
      <c r="P22" s="282"/>
    </row>
    <row r="23" spans="5:16">
      <c r="E23" s="498" t="str">
        <f>IF(Hlavní!V39=3,"Dostawa","")</f>
        <v>Dostawa</v>
      </c>
      <c r="F23" s="498"/>
      <c r="G23" s="498"/>
      <c r="H23" s="498"/>
      <c r="I23" s="498"/>
      <c r="K23" s="501"/>
      <c r="L23" s="501"/>
      <c r="M23" s="501"/>
      <c r="N23" s="501"/>
      <c r="O23" s="501"/>
      <c r="P23" s="501"/>
    </row>
    <row r="24" spans="5:16" ht="14.25" customHeight="1">
      <c r="K24" s="49" t="s">
        <v>3507</v>
      </c>
      <c r="L24" s="499" t="s">
        <v>3508</v>
      </c>
      <c r="M24" s="499"/>
      <c r="N24" s="499"/>
      <c r="O24" s="499"/>
      <c r="P24" s="49" t="s">
        <v>3507</v>
      </c>
    </row>
    <row r="25" spans="5:16" ht="14.25" customHeight="1">
      <c r="E25" s="498" t="str">
        <f>IF(Hlavní!V39=3,"Adres","")</f>
        <v>Adres</v>
      </c>
      <c r="F25" s="498"/>
      <c r="G25" s="498"/>
      <c r="H25" s="498"/>
      <c r="I25" s="498"/>
      <c r="K25" s="502"/>
      <c r="L25" s="502"/>
      <c r="M25" s="502"/>
      <c r="N25" s="502"/>
      <c r="O25" s="502"/>
      <c r="P25" s="502"/>
    </row>
    <row r="26" spans="5:16" ht="14.25" customHeight="1">
      <c r="K26" s="502"/>
      <c r="L26" s="502"/>
      <c r="M26" s="502"/>
      <c r="N26" s="502"/>
      <c r="O26" s="502"/>
      <c r="P26" s="502"/>
    </row>
    <row r="27" spans="5:16" ht="14.25" customHeight="1">
      <c r="K27" s="502"/>
      <c r="L27" s="502"/>
      <c r="M27" s="502"/>
      <c r="N27" s="502"/>
      <c r="O27" s="502"/>
      <c r="P27" s="502"/>
    </row>
    <row r="28" spans="5:16" ht="14.25" customHeight="1"/>
    <row r="29" spans="5:16">
      <c r="E29" s="503" t="str">
        <f>IF(K23="Dostawa na adres","W przypadku wyboru DOSTAWA NA ADRES do zamówienia zostanie automatycznie doliczona opłata transportowa. Aby uzyskać informacje o kosztach wysyłki powyżej 20 ramek, skontaktuj się z obsługą klienta: tel: 327908582, email: zamowienia@demos-trade.com","")</f>
        <v/>
      </c>
      <c r="F29" s="503"/>
      <c r="G29" s="503"/>
      <c r="H29" s="503"/>
      <c r="I29" s="503"/>
      <c r="J29" s="503"/>
      <c r="K29" s="503"/>
      <c r="L29" s="503"/>
      <c r="M29" s="503"/>
      <c r="N29" s="503"/>
      <c r="O29" s="503"/>
      <c r="P29" s="503"/>
    </row>
    <row r="30" spans="5:16">
      <c r="E30" s="503"/>
      <c r="F30" s="503"/>
      <c r="G30" s="503"/>
      <c r="H30" s="503"/>
      <c r="I30" s="503"/>
      <c r="J30" s="503"/>
      <c r="K30" s="503"/>
      <c r="L30" s="503"/>
      <c r="M30" s="503"/>
      <c r="N30" s="503"/>
      <c r="O30" s="503"/>
      <c r="P30" s="503"/>
    </row>
    <row r="31" spans="5:16">
      <c r="E31" s="503"/>
      <c r="F31" s="503"/>
      <c r="G31" s="503"/>
      <c r="H31" s="503"/>
      <c r="I31" s="503"/>
      <c r="J31" s="503"/>
      <c r="K31" s="503"/>
      <c r="L31" s="503"/>
      <c r="M31" s="503"/>
      <c r="N31" s="503"/>
      <c r="O31" s="503"/>
      <c r="P31" s="503"/>
    </row>
    <row r="32" spans="5:16">
      <c r="E32" s="280"/>
      <c r="F32" s="280"/>
      <c r="G32" s="280"/>
      <c r="H32" s="280"/>
      <c r="I32" s="280"/>
      <c r="J32" s="280"/>
      <c r="K32" s="280"/>
      <c r="L32" s="280"/>
      <c r="M32" s="280"/>
      <c r="N32" s="280"/>
      <c r="O32" s="280"/>
      <c r="P32" s="280"/>
    </row>
    <row r="33" spans="2:24"/>
    <row r="34" spans="2:24">
      <c r="B34" s="491" t="str">
        <f>"&lt;"&amp;" "&amp;'Translate&amp;Prices&amp;Logo'!$B$576</f>
        <v>&lt; Powrót</v>
      </c>
      <c r="C34" s="492"/>
      <c r="E34" s="280"/>
      <c r="F34" s="280"/>
      <c r="G34" s="280"/>
      <c r="H34" s="280"/>
      <c r="I34" s="280"/>
      <c r="J34" s="280"/>
      <c r="K34" s="489" t="s">
        <v>3543</v>
      </c>
      <c r="L34" s="490"/>
      <c r="M34" s="280"/>
      <c r="N34" s="280"/>
      <c r="O34" s="280"/>
      <c r="P34" s="280"/>
      <c r="R34" s="489" t="str">
        <f>'Translate&amp;Prices&amp;Logo'!$B$568&amp;" "&amp;"&gt;"</f>
        <v>Kolejne &gt;</v>
      </c>
      <c r="S34" s="490"/>
      <c r="U34" s="6">
        <f>IF('Translate&amp;Prices&amp;Logo'!D1=3,1,0)</f>
        <v>1</v>
      </c>
      <c r="V34" s="6">
        <f>IF(K23="",0,1)</f>
        <v>0</v>
      </c>
      <c r="W34" s="6">
        <f>IF(AND(U34=1,V34=1),1,0)</f>
        <v>0</v>
      </c>
      <c r="X34" s="6">
        <f>IF(OR(W34=1,W35=1),1,0)</f>
        <v>0</v>
      </c>
    </row>
    <row r="35" spans="2:24">
      <c r="B35" s="491"/>
      <c r="C35" s="492"/>
      <c r="E35" s="280"/>
      <c r="F35" s="280"/>
      <c r="G35" s="280"/>
      <c r="H35" s="280"/>
      <c r="I35" s="280"/>
      <c r="J35" s="280"/>
      <c r="K35" s="489"/>
      <c r="L35" s="490"/>
      <c r="M35" s="280"/>
      <c r="N35" s="280"/>
      <c r="O35" s="280"/>
      <c r="P35" s="280"/>
      <c r="R35" s="489"/>
      <c r="S35" s="490"/>
      <c r="U35" s="6" t="s">
        <v>3484</v>
      </c>
      <c r="V35" s="6"/>
      <c r="W35" s="6">
        <f>IF('Translate&amp;Prices&amp;Logo'!D1&lt;&gt;3,1,0)</f>
        <v>0</v>
      </c>
      <c r="X35" s="6"/>
    </row>
    <row r="36" spans="2:24">
      <c r="U36" s="6"/>
      <c r="V36" s="6"/>
      <c r="W36" s="6"/>
      <c r="X36" s="6"/>
    </row>
    <row r="37" spans="2:24"/>
    <row r="38" spans="2:24"/>
  </sheetData>
  <sheetProtection algorithmName="SHA-512" hashValue="jnpxAQ1TYJ0JaZ9BNtiAaktBgcjUkYMkS9TssHFtvp1FTTIUe+HZzTG5RGaUIGRJWskqvZkeD4p1ce7mzT0nhA==" saltValue="N8y2sO0UdN+BKLh0+DcW7w==" spinCount="100000" sheet="1" objects="1" scenarios="1"/>
  <mergeCells count="24">
    <mergeCell ref="B34:C35"/>
    <mergeCell ref="E21:I21"/>
    <mergeCell ref="E25:I25"/>
    <mergeCell ref="K23:P23"/>
    <mergeCell ref="K25:P25"/>
    <mergeCell ref="K26:P26"/>
    <mergeCell ref="K27:P27"/>
    <mergeCell ref="K34:L35"/>
    <mergeCell ref="E29:P31"/>
    <mergeCell ref="R34:S35"/>
    <mergeCell ref="Q2:T3"/>
    <mergeCell ref="E11:I11"/>
    <mergeCell ref="K11:P11"/>
    <mergeCell ref="E17:I17"/>
    <mergeCell ref="E15:I15"/>
    <mergeCell ref="E13:I13"/>
    <mergeCell ref="K13:P13"/>
    <mergeCell ref="K15:P15"/>
    <mergeCell ref="K17:P17"/>
    <mergeCell ref="E23:I23"/>
    <mergeCell ref="E19:I19"/>
    <mergeCell ref="K19:P19"/>
    <mergeCell ref="L24:O24"/>
    <mergeCell ref="K21:O21"/>
  </mergeCells>
  <conditionalFormatting sqref="E25:I25">
    <cfRule type="expression" dxfId="500" priority="1" stopIfTrue="1">
      <formula>K23="Dostawa na adres"</formula>
    </cfRule>
  </conditionalFormatting>
  <conditionalFormatting sqref="K24">
    <cfRule type="expression" dxfId="498" priority="4">
      <formula>$K$23="Dostawa na adres"</formula>
    </cfRule>
  </conditionalFormatting>
  <conditionalFormatting sqref="K34">
    <cfRule type="expression" dxfId="497" priority="16" stopIfTrue="1">
      <formula>K23="Dostawa na adres"</formula>
    </cfRule>
  </conditionalFormatting>
  <conditionalFormatting sqref="K25:P25">
    <cfRule type="expression" dxfId="496" priority="10">
      <formula>K23="Dostawa na adres"</formula>
    </cfRule>
  </conditionalFormatting>
  <conditionalFormatting sqref="K26:P26">
    <cfRule type="expression" dxfId="495" priority="9">
      <formula>K23="Dostawa na adres"</formula>
    </cfRule>
  </conditionalFormatting>
  <conditionalFormatting sqref="K27:P27">
    <cfRule type="expression" dxfId="494" priority="15">
      <formula>K23="Dostawa na adres"</formula>
    </cfRule>
  </conditionalFormatting>
  <conditionalFormatting sqref="L24">
    <cfRule type="expression" dxfId="493" priority="5">
      <formula>$K$23="Dostawa na adres"</formula>
    </cfRule>
  </conditionalFormatting>
  <conditionalFormatting sqref="P24">
    <cfRule type="expression" dxfId="492" priority="6">
      <formula>$K$23="Dostawa na adres"</formula>
    </cfRule>
  </conditionalFormatting>
  <conditionalFormatting sqref="R34:S35">
    <cfRule type="expression" dxfId="491" priority="11">
      <formula>$X$34=1</formula>
    </cfRule>
  </conditionalFormatting>
  <dataValidations count="1">
    <dataValidation type="list" allowBlank="1" showInputMessage="1" showErrorMessage="1" sqref="K23:P23" xr:uid="{AD44FE2D-96E4-4384-A62A-C131B8424F37}">
      <formula1>"Odbiór osobisty w Demos Katowice,Dostawa na adres"</formula1>
    </dataValidation>
  </dataValidations>
  <hyperlinks>
    <hyperlink ref="Q2:T3" location="Hlavní!A1" display="Hlavní!A1" xr:uid="{B163AADE-6920-45CE-9416-12BC0A339B4E}"/>
    <hyperlink ref="B34:C35" location="Hlavní!A1" display="Hlavní!A1" xr:uid="{95AF7774-7006-4767-832D-D399C1488032}"/>
    <hyperlink ref="R34:S35" location="Potvrzení!A1" display="Potvrzení!A1" xr:uid="{1B19EF35-C5AF-4479-BD7E-F1335920A3A1}"/>
    <hyperlink ref="K34:L35" location="'cennik transportu PL'!A1" display="'cennik transportu PL'!A1" xr:uid="{1A928D43-A204-482F-8C9F-611005F3B5BE}"/>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Check Box 1967">
              <controlPr locked="0" defaultSize="0" autoFill="0" autoLine="0" autoPict="0">
                <anchor moveWithCells="1">
                  <from>
                    <xdr:col>15</xdr:col>
                    <xdr:colOff>0</xdr:colOff>
                    <xdr:row>0</xdr:row>
                    <xdr:rowOff>0</xdr:rowOff>
                  </from>
                  <to>
                    <xdr:col>15</xdr:col>
                    <xdr:colOff>0</xdr:colOff>
                    <xdr:row>0</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342E72D3-919B-431D-BD96-B22BF2934F09}">
            <xm:f>'Translate&amp;Prices&amp;Logo'!$D$1=3</xm:f>
            <x14:dxf>
              <fill>
                <patternFill>
                  <fgColor auto="1"/>
                  <bgColor rgb="FF004984"/>
                </patternFill>
              </fill>
            </x14:dxf>
          </x14:cfRule>
          <xm:sqref>E23</xm:sqref>
        </x14:conditionalFormatting>
        <x14:conditionalFormatting xmlns:xm="http://schemas.microsoft.com/office/excel/2006/main">
          <x14:cfRule type="expression" priority="17" id="{94674D40-02D8-4F5D-B016-6F0CE6A52859}">
            <xm:f>'Translate&amp;Prices&amp;Logo'!$D$1=3</xm:f>
            <x14:dxf>
              <fill>
                <patternFill>
                  <fgColor auto="1"/>
                  <bgColor rgb="FF00B0F0"/>
                </patternFill>
              </fill>
            </x14:dxf>
          </x14:cfRule>
          <xm:sqref>K23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D13-FBD2-4CC3-8522-6DCC87274798}">
  <sheetPr codeName="List4"/>
  <dimension ref="A1:S31"/>
  <sheetViews>
    <sheetView showGridLines="0" showRowColHeaders="0" workbookViewId="0">
      <selection activeCell="P26" sqref="P26:S27"/>
    </sheetView>
  </sheetViews>
  <sheetFormatPr defaultColWidth="0" defaultRowHeight="15" zeroHeight="1"/>
  <cols>
    <col min="1" max="1" width="9" customWidth="1"/>
    <col min="2" max="2" width="21.85546875" customWidth="1"/>
    <col min="3" max="7" width="24.28515625" customWidth="1"/>
    <col min="8" max="8" width="19.140625" customWidth="1"/>
    <col min="9" max="19" width="8.85546875" customWidth="1"/>
    <col min="20" max="16384" width="8.85546875" hidden="1"/>
  </cols>
  <sheetData>
    <row r="1" spans="1:19"/>
    <row r="2" spans="1:19">
      <c r="A2" s="510"/>
      <c r="B2" s="510"/>
      <c r="C2" s="510"/>
      <c r="D2" s="510"/>
      <c r="E2" s="510"/>
      <c r="F2" s="510"/>
      <c r="G2" s="510"/>
      <c r="H2" s="510"/>
      <c r="I2" s="510"/>
      <c r="J2" s="510"/>
      <c r="K2" s="510"/>
      <c r="L2" s="510"/>
      <c r="M2" s="510"/>
      <c r="N2" s="510"/>
      <c r="O2" s="510"/>
      <c r="P2" s="511" t="str">
        <f>"Powrót"</f>
        <v>Powrót</v>
      </c>
      <c r="Q2" s="512"/>
      <c r="R2" s="512"/>
      <c r="S2" s="512"/>
    </row>
    <row r="3" spans="1:19">
      <c r="A3" s="510"/>
      <c r="B3" s="510"/>
      <c r="C3" s="510"/>
      <c r="D3" s="510"/>
      <c r="E3" s="510"/>
      <c r="F3" s="510"/>
      <c r="G3" s="510"/>
      <c r="H3" s="510"/>
      <c r="I3" s="510"/>
      <c r="J3" s="510"/>
      <c r="K3" s="510"/>
      <c r="L3" s="510"/>
      <c r="M3" s="510"/>
      <c r="N3" s="510"/>
      <c r="O3" s="510"/>
      <c r="P3" s="511"/>
      <c r="Q3" s="512"/>
      <c r="R3" s="512"/>
      <c r="S3" s="512"/>
    </row>
    <row r="4" spans="1:19"/>
    <row r="9" spans="1:19"/>
    <row r="10" spans="1:19"/>
    <row r="11" spans="1:19" ht="15.75" thickBot="1"/>
    <row r="12" spans="1:19" ht="39.75" customHeight="1" thickBot="1">
      <c r="B12" s="504" t="s">
        <v>3544</v>
      </c>
      <c r="C12" s="505"/>
      <c r="D12" s="505"/>
      <c r="E12" s="505"/>
      <c r="F12" s="506"/>
      <c r="G12" s="464"/>
    </row>
    <row r="13" spans="1:19" ht="21" customHeight="1">
      <c r="B13" s="331"/>
      <c r="C13" s="515" t="s">
        <v>4291</v>
      </c>
      <c r="D13" s="515"/>
      <c r="E13" s="518" t="s">
        <v>3540</v>
      </c>
      <c r="F13" s="519"/>
      <c r="G13" s="465"/>
    </row>
    <row r="14" spans="1:19">
      <c r="B14" s="314" t="s">
        <v>3539</v>
      </c>
      <c r="C14" s="310" t="s">
        <v>4327</v>
      </c>
      <c r="D14" s="310" t="s">
        <v>4381</v>
      </c>
      <c r="E14" s="309" t="s">
        <v>4383</v>
      </c>
      <c r="F14" s="309" t="s">
        <v>4384</v>
      </c>
      <c r="G14" s="466"/>
    </row>
    <row r="15" spans="1:19">
      <c r="B15" s="332" t="s">
        <v>3556</v>
      </c>
      <c r="C15" s="329" t="s">
        <v>4374</v>
      </c>
      <c r="D15" s="329" t="s">
        <v>4374</v>
      </c>
      <c r="E15" s="330" t="s">
        <v>4377</v>
      </c>
      <c r="F15" s="330" t="s">
        <v>4378</v>
      </c>
      <c r="G15" s="467"/>
    </row>
    <row r="16" spans="1:19" ht="15.75" thickBot="1">
      <c r="B16" s="315" t="s">
        <v>4290</v>
      </c>
      <c r="C16" s="418" t="s">
        <v>4287</v>
      </c>
      <c r="D16" s="418" t="s">
        <v>4288</v>
      </c>
      <c r="E16" s="507" t="s">
        <v>4289</v>
      </c>
      <c r="F16" s="508"/>
      <c r="G16" s="468"/>
    </row>
    <row r="17" spans="2:19" ht="25.5" customHeight="1"/>
    <row r="18" spans="2:19" ht="25.5" customHeight="1">
      <c r="B18" s="509" t="s">
        <v>4324</v>
      </c>
      <c r="C18" s="509"/>
      <c r="D18" s="509"/>
      <c r="E18" s="429"/>
    </row>
    <row r="19" spans="2:19" ht="25.5" customHeight="1">
      <c r="B19" s="509"/>
      <c r="C19" s="509"/>
      <c r="D19" s="509"/>
      <c r="E19" s="429"/>
    </row>
    <row r="20" spans="2:19" ht="15.75" thickBot="1"/>
    <row r="21" spans="2:19" ht="39.75" customHeight="1" thickBot="1">
      <c r="B21" s="504" t="s">
        <v>3541</v>
      </c>
      <c r="C21" s="505"/>
      <c r="D21" s="517"/>
      <c r="E21" s="463"/>
      <c r="F21" s="463"/>
      <c r="G21" s="463"/>
      <c r="H21" s="311"/>
      <c r="P21" s="514" t="str">
        <f>IF(Posuv!I17="Dostawa na adres","Ramki przesuwne","")</f>
        <v/>
      </c>
      <c r="Q21" s="514"/>
      <c r="R21" s="514"/>
      <c r="S21" s="514"/>
    </row>
    <row r="22" spans="2:19" ht="18.75" customHeight="1">
      <c r="B22" s="334" t="s">
        <v>3542</v>
      </c>
      <c r="C22" s="460" t="s">
        <v>4375</v>
      </c>
      <c r="D22" s="335" t="s">
        <v>4376</v>
      </c>
      <c r="E22" s="461"/>
      <c r="H22" s="312"/>
    </row>
    <row r="23" spans="2:19">
      <c r="B23" s="332" t="s">
        <v>3556</v>
      </c>
      <c r="C23" s="329" t="s">
        <v>4374</v>
      </c>
      <c r="D23" s="336" t="s">
        <v>4380</v>
      </c>
      <c r="E23" s="461"/>
      <c r="H23" s="174"/>
      <c r="P23" s="513" t="s">
        <v>1432</v>
      </c>
      <c r="Q23" s="513"/>
      <c r="R23" s="513"/>
      <c r="S23" s="513"/>
    </row>
    <row r="24" spans="2:19" ht="15.75" thickBot="1">
      <c r="B24" s="315" t="s">
        <v>4290</v>
      </c>
      <c r="C24" s="418" t="s">
        <v>4329</v>
      </c>
      <c r="D24" s="333" t="s">
        <v>4330</v>
      </c>
      <c r="E24" s="462"/>
      <c r="H24" s="313"/>
      <c r="P24" s="513"/>
      <c r="Q24" s="513"/>
      <c r="R24" s="513"/>
      <c r="S24" s="513"/>
    </row>
    <row r="25" spans="2:19"/>
    <row r="26" spans="2:19" ht="15" customHeight="1">
      <c r="B26" s="516" t="s">
        <v>4337</v>
      </c>
      <c r="C26" s="516"/>
      <c r="D26" s="516"/>
      <c r="E26" s="516"/>
      <c r="F26" s="516"/>
      <c r="G26" s="516"/>
      <c r="P26" s="512" t="s">
        <v>1224</v>
      </c>
      <c r="Q26" s="512"/>
      <c r="R26" s="512"/>
      <c r="S26" s="512"/>
    </row>
    <row r="27" spans="2:19" ht="15" customHeight="1">
      <c r="B27" s="516"/>
      <c r="C27" s="516"/>
      <c r="D27" s="516"/>
      <c r="E27" s="516"/>
      <c r="F27" s="516"/>
      <c r="G27" s="516"/>
      <c r="P27" s="512"/>
      <c r="Q27" s="512"/>
      <c r="R27" s="512"/>
      <c r="S27" s="512"/>
    </row>
    <row r="28" spans="2:19" ht="15" customHeight="1">
      <c r="B28" s="429"/>
      <c r="C28" s="429"/>
      <c r="D28" s="429"/>
      <c r="E28" s="429"/>
    </row>
    <row r="29" spans="2:19"/>
    <row r="30" spans="2:19"/>
    <row r="31" spans="2:19"/>
  </sheetData>
  <sheetProtection algorithmName="SHA-512" hashValue="7GR2We0x2EHu+/zQ0jrJB169cKlsARsIUet/XQuKctDTCzlhSEDfJ9HXgi7ZEWc9GCl4wIz93sKto9yKUUHHcw==" saltValue="Mz9WqRTyEXritHHOJbtTnQ==" spinCount="100000" sheet="1" objects="1" scenarios="1"/>
  <mergeCells count="12">
    <mergeCell ref="P26:S27"/>
    <mergeCell ref="P23:S24"/>
    <mergeCell ref="P21:S21"/>
    <mergeCell ref="C13:D13"/>
    <mergeCell ref="B26:G27"/>
    <mergeCell ref="B21:D21"/>
    <mergeCell ref="E13:F13"/>
    <mergeCell ref="B12:F12"/>
    <mergeCell ref="E16:F16"/>
    <mergeCell ref="B18:D19"/>
    <mergeCell ref="A2:O3"/>
    <mergeCell ref="P2:S3"/>
  </mergeCells>
  <hyperlinks>
    <hyperlink ref="P2:S3" location="Zakaznik!A1" display="Zakaznik!A1" xr:uid="{77B16D2E-B066-4985-843A-35ED250D3458}"/>
    <hyperlink ref="P26:S27" location="_souhrn!A1" display="_souhrn!A1" xr:uid="{1C2AFC48-B0E5-454B-AF7E-5E9AC4D2FFE5}"/>
    <hyperlink ref="P23:S24" location="Sklo!A1" display="Zamówienie szkła" xr:uid="{49FFC164-97E0-4587-AE81-565DB7AFE7CA}"/>
    <hyperlink ref="P21:S21" location="Posuv!A1" display="Posuv!A1" xr:uid="{6054B7FC-B16E-4D10-9297-CC8814DD0D44}"/>
  </hyperlinks>
  <pageMargins left="0.7" right="0.7" top="0.78740157499999996" bottom="0.78740157499999996" header="0.3" footer="0.3"/>
  <pageSetup paperSize="9" orientation="portrait" horizontalDpi="0"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196E0E6B-527A-445C-821B-78D735E1367A}">
            <xm:f>Posuv!I17="Dostawa na adres"</xm:f>
            <x14:dxf>
              <font>
                <color theme="0"/>
              </font>
              <fill>
                <patternFill>
                  <bgColor rgb="FF00B050"/>
                </patternFill>
              </fill>
            </x14:dxf>
          </x14:cfRule>
          <xm:sqref>P21:S21</xm:sqref>
        </x14:conditionalFormatting>
        <x14:conditionalFormatting xmlns:xm="http://schemas.microsoft.com/office/excel/2006/main">
          <x14:cfRule type="expression" priority="3" id="{9D5CA566-5D6A-4534-86B2-F596BC000E62}">
            <xm:f>Sklo!$I$16="Dostawa na adres"</xm:f>
            <x14:dxf>
              <fill>
                <patternFill>
                  <bgColor rgb="FF00B050"/>
                </patternFill>
              </fill>
            </x14:dxf>
          </x14:cfRule>
          <xm:sqref>P23:S24</xm:sqref>
        </x14:conditionalFormatting>
        <x14:conditionalFormatting xmlns:xm="http://schemas.microsoft.com/office/excel/2006/main">
          <x14:cfRule type="expression" priority="2" id="{B9AC0D46-924A-4CBF-9D06-27B9B342159F}">
            <xm:f>Zakaznik!$K$23="Dostawa na adres"</xm:f>
            <x14:dxf>
              <fill>
                <patternFill>
                  <bgColor rgb="FF00B050"/>
                </patternFill>
              </fill>
            </x14:dxf>
          </x14:cfRule>
          <xm:sqref>P26:S27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01DA-A65C-4EE7-A54C-9363E0165FF1}">
  <sheetPr codeName="List28"/>
  <dimension ref="A1:AM64"/>
  <sheetViews>
    <sheetView showGridLines="0" showRowColHeaders="0" workbookViewId="0">
      <selection activeCell="I8" sqref="I8:N8"/>
    </sheetView>
  </sheetViews>
  <sheetFormatPr defaultColWidth="0" defaultRowHeight="14.85" customHeight="1" zeroHeight="1"/>
  <cols>
    <col min="1" max="3" width="8.5703125" style="133" customWidth="1"/>
    <col min="4" max="4" width="6.5703125" style="133" customWidth="1"/>
    <col min="5" max="16" width="8.5703125" style="133" customWidth="1"/>
    <col min="17" max="17" width="6.5703125" style="133" customWidth="1"/>
    <col min="18" max="18" width="8.5703125" style="133" customWidth="1"/>
    <col min="19" max="20" width="11.28515625" style="133" customWidth="1"/>
    <col min="21" max="21" width="17.5703125" style="133" hidden="1" customWidth="1"/>
    <col min="22" max="22" width="8.85546875" style="133" hidden="1" customWidth="1"/>
    <col min="23" max="23" width="18.5703125" style="133" hidden="1" customWidth="1"/>
    <col min="24" max="34" width="8.85546875" style="133" hidden="1" customWidth="1"/>
    <col min="35" max="35" width="16.7109375" style="133" hidden="1" customWidth="1"/>
    <col min="36" max="16384" width="8.85546875" style="133" hidden="1"/>
  </cols>
  <sheetData>
    <row r="1" spans="1:39" ht="15">
      <c r="A1" s="38"/>
      <c r="B1" s="38"/>
      <c r="C1" s="38"/>
      <c r="D1" s="38"/>
      <c r="E1" s="38"/>
      <c r="F1" s="38"/>
      <c r="G1" s="38"/>
      <c r="H1" s="38"/>
      <c r="I1" s="38"/>
      <c r="J1" s="38"/>
      <c r="K1" s="38"/>
      <c r="L1" s="38"/>
      <c r="M1" s="38"/>
      <c r="N1" s="38"/>
      <c r="O1" s="38"/>
      <c r="P1" s="1"/>
      <c r="Q1" s="1"/>
      <c r="R1" s="1"/>
      <c r="S1" s="1"/>
      <c r="T1" s="1"/>
      <c r="AJ1" s="410">
        <v>800</v>
      </c>
      <c r="AK1" s="410">
        <v>1400</v>
      </c>
      <c r="AL1" s="410">
        <v>2300</v>
      </c>
      <c r="AM1" s="410">
        <v>2750</v>
      </c>
    </row>
    <row r="2" spans="1:39" ht="15">
      <c r="A2" s="39"/>
      <c r="B2" s="39"/>
      <c r="C2" s="39"/>
      <c r="D2" s="39"/>
      <c r="E2" s="558"/>
      <c r="F2" s="558"/>
      <c r="G2" s="558"/>
      <c r="H2" s="558"/>
      <c r="I2" s="558"/>
      <c r="J2" s="558"/>
      <c r="K2" s="558"/>
      <c r="L2" s="558"/>
      <c r="M2" s="558"/>
      <c r="N2" s="558"/>
      <c r="O2" s="558"/>
      <c r="P2" s="559"/>
      <c r="Q2" s="554" t="str">
        <f>'Translate&amp;Prices&amp;Logo'!$B$542</f>
        <v>Wprowadzenie</v>
      </c>
      <c r="R2" s="555"/>
      <c r="S2" s="555"/>
      <c r="T2" s="555"/>
      <c r="AJ2" s="410">
        <v>800</v>
      </c>
      <c r="AK2" s="410">
        <v>800</v>
      </c>
      <c r="AL2" s="547">
        <v>750</v>
      </c>
      <c r="AM2" s="548"/>
    </row>
    <row r="3" spans="1:39" ht="15">
      <c r="A3" s="39"/>
      <c r="B3" s="39"/>
      <c r="C3" s="39"/>
      <c r="D3" s="39"/>
      <c r="E3" s="558"/>
      <c r="F3" s="558"/>
      <c r="G3" s="558"/>
      <c r="H3" s="558"/>
      <c r="I3" s="558"/>
      <c r="J3" s="558"/>
      <c r="K3" s="558"/>
      <c r="L3" s="558"/>
      <c r="M3" s="558"/>
      <c r="N3" s="558"/>
      <c r="O3" s="558"/>
      <c r="P3" s="559"/>
      <c r="Q3" s="554"/>
      <c r="R3" s="555"/>
      <c r="S3" s="555"/>
      <c r="T3" s="555"/>
      <c r="W3" s="133" t="e">
        <f>VLOOKUP(I24,V5:W7,2,0)</f>
        <v>#N/A</v>
      </c>
      <c r="AJ3" s="349" t="s">
        <v>4295</v>
      </c>
      <c r="AK3" s="349" t="s">
        <v>4296</v>
      </c>
      <c r="AL3" s="350" t="s">
        <v>4297</v>
      </c>
      <c r="AM3" s="350" t="s">
        <v>4298</v>
      </c>
    </row>
    <row r="4" spans="1:39" ht="15">
      <c r="A4" s="38"/>
      <c r="B4" s="38"/>
      <c r="C4" s="38"/>
      <c r="D4" s="38"/>
      <c r="E4" s="38"/>
      <c r="F4" s="38"/>
      <c r="G4" s="38"/>
      <c r="H4" s="38"/>
      <c r="I4" s="38"/>
      <c r="J4" s="1"/>
      <c r="K4" s="1"/>
      <c r="L4" s="1"/>
      <c r="M4" s="1"/>
      <c r="N4" s="1"/>
      <c r="O4" s="1"/>
      <c r="P4" s="1"/>
      <c r="Q4" s="1"/>
      <c r="R4" s="1"/>
      <c r="S4" s="1"/>
      <c r="T4" s="1"/>
      <c r="AE4" s="1"/>
      <c r="AJ4" s="469">
        <v>35</v>
      </c>
      <c r="AK4" s="469">
        <v>35</v>
      </c>
      <c r="AL4" s="469">
        <v>288</v>
      </c>
      <c r="AM4" s="469">
        <v>332</v>
      </c>
    </row>
    <row r="5" spans="1:39" ht="14.85" customHeight="1">
      <c r="A5" s="1"/>
      <c r="B5" s="1"/>
      <c r="C5" s="1"/>
      <c r="D5" s="1"/>
      <c r="E5" s="1"/>
      <c r="F5" s="1"/>
      <c r="G5" s="1"/>
      <c r="H5" s="1"/>
      <c r="I5" s="1"/>
      <c r="J5" s="1"/>
      <c r="K5" s="1"/>
      <c r="L5" s="1"/>
      <c r="M5" s="1"/>
      <c r="N5" s="1"/>
      <c r="O5" s="1"/>
      <c r="P5" s="1"/>
      <c r="Q5" s="1"/>
      <c r="R5" s="1"/>
      <c r="S5" s="1"/>
      <c r="T5" s="1"/>
      <c r="V5" s="133" t="str">
        <f>'Translate&amp;Prices&amp;Logo'!B640</f>
        <v>Bez modyfikacji</v>
      </c>
      <c r="W5" s="133">
        <v>1</v>
      </c>
      <c r="AE5" s="1"/>
      <c r="AF5" s="1"/>
      <c r="AG5" s="1"/>
      <c r="AH5" s="1"/>
      <c r="AI5" s="1"/>
      <c r="AJ5" s="1">
        <v>3</v>
      </c>
      <c r="AK5" s="133">
        <v>2</v>
      </c>
      <c r="AL5" s="552">
        <v>20</v>
      </c>
      <c r="AM5" s="552"/>
    </row>
    <row r="6" spans="1:39" ht="14.85" customHeight="1">
      <c r="A6" s="1"/>
      <c r="B6" s="1"/>
      <c r="C6" s="1"/>
      <c r="D6" s="1"/>
      <c r="E6" s="1"/>
      <c r="F6" s="1"/>
      <c r="G6" s="1"/>
      <c r="H6" s="1"/>
      <c r="I6" s="1"/>
      <c r="J6" s="1"/>
      <c r="K6" s="1"/>
      <c r="L6" s="1"/>
      <c r="M6" s="1"/>
      <c r="N6" s="1"/>
      <c r="O6" s="1"/>
      <c r="P6" s="1"/>
      <c r="Q6" s="1"/>
      <c r="R6" s="1"/>
      <c r="S6" s="1"/>
      <c r="T6" s="1"/>
      <c r="V6" s="133" t="str">
        <f>'Translate&amp;Prices&amp;Logo'!B641</f>
        <v>Hartowane (termin dostawy 4 tygodnie)</v>
      </c>
      <c r="W6" s="133">
        <v>2</v>
      </c>
      <c r="AC6" s="133" t="s">
        <v>4385</v>
      </c>
      <c r="AD6" s="133" t="s">
        <v>4386</v>
      </c>
      <c r="AE6" s="549" t="s">
        <v>4349</v>
      </c>
      <c r="AF6" s="550"/>
      <c r="AG6" s="550"/>
      <c r="AH6" s="551"/>
      <c r="AI6" s="394" t="s">
        <v>4350</v>
      </c>
      <c r="AJ6" s="1"/>
    </row>
    <row r="7" spans="1:39" ht="14.85" customHeight="1">
      <c r="A7" s="1"/>
      <c r="B7" s="1"/>
      <c r="C7" s="1"/>
      <c r="D7" s="1"/>
      <c r="E7" s="1"/>
      <c r="F7" s="1"/>
      <c r="G7" s="1"/>
      <c r="H7" s="1"/>
      <c r="I7" s="1"/>
      <c r="J7" s="1"/>
      <c r="K7" s="1"/>
      <c r="L7" s="1"/>
      <c r="M7" s="1"/>
      <c r="N7" s="1"/>
      <c r="O7" s="1"/>
      <c r="P7" s="1"/>
      <c r="Q7" s="1"/>
      <c r="R7" s="1"/>
      <c r="S7" s="1"/>
      <c r="T7" s="1"/>
      <c r="V7" s="133" t="str">
        <f>'Translate&amp;Prices&amp;Logo'!B642</f>
        <v>Folia</v>
      </c>
      <c r="W7" s="133">
        <v>3</v>
      </c>
      <c r="Z7" s="133" t="e">
        <f t="array" ref="Z7:Z64">IF(W3=1,_N1,IF(W3=2,_N2,IF(W3=3,_N3)))</f>
        <v>#N/A</v>
      </c>
      <c r="AC7" s="472">
        <f>MAX(I21:R22)</f>
        <v>0</v>
      </c>
      <c r="AD7" s="472">
        <f>MIN(I21:R22)</f>
        <v>0</v>
      </c>
      <c r="AE7" s="1" t="str">
        <f>IF(AND(IF($AD7&lt;=AJ$2,"balík A","ne")="balík A",IF($AC$7&lt;=AJ$1,"balík A","ne")="balík A",$AJ$3="balík A"),"balík A","ne")</f>
        <v>balík A</v>
      </c>
      <c r="AF7" s="1" t="str">
        <f>IF(AND(IF($AD7&lt;=AK$2,"balík B","ne")="balík B",IF($AC$7&lt;=AK$1,"balík B","ne")="balík B",$AK$3="balík B"),"balík B","ne")</f>
        <v>balík B</v>
      </c>
      <c r="AG7" s="1" t="str">
        <f>IF(AND(IF($AD7&lt;=AL$2,"paleta A","ne")="paleta A",IF($AC$7&lt;=AL$1,"paleta A","ne")="paleta A",$AL$3="paleta A"),"paleta A","ne")</f>
        <v>paleta A</v>
      </c>
      <c r="AH7" s="1" t="str">
        <f>IF(AND(IF($AD7&lt;=AL$2,"paleta B","ne")="paleta B",IF($AC$7&lt;=AM$1,"paleta B","ne")="paleta B",$AM$3="paleta B"),"paleta B","ne")</f>
        <v>paleta B</v>
      </c>
      <c r="AI7" s="1" t="str">
        <f>IF(AE7&lt;&gt;"NE",AE7,IF(AF7&lt;&gt;"NE",AF7,IF(AG7&lt;&gt;"NE",AG7,IF(AH7&lt;&gt;"Ne",AH7,"ne"))))</f>
        <v>balík A</v>
      </c>
      <c r="AJ7" s="1">
        <f>HLOOKUP(AI7,AJ3:AM4,2,0)</f>
        <v>35</v>
      </c>
      <c r="AK7" s="133" t="s">
        <v>4387</v>
      </c>
    </row>
    <row r="8" spans="1:39" ht="14.85" customHeight="1">
      <c r="A8" s="1"/>
      <c r="B8" s="1"/>
      <c r="C8" s="545" t="str">
        <f>'Translate&amp;Prices&amp;Logo'!$B$251</f>
        <v>Klient</v>
      </c>
      <c r="D8" s="545"/>
      <c r="E8" s="545"/>
      <c r="F8" s="545"/>
      <c r="G8" s="545"/>
      <c r="H8" s="283"/>
      <c r="I8" s="546"/>
      <c r="J8" s="546"/>
      <c r="K8" s="546"/>
      <c r="L8" s="546"/>
      <c r="M8" s="546"/>
      <c r="N8" s="546"/>
      <c r="S8" s="1"/>
      <c r="T8" s="1"/>
      <c r="Z8" s="133" t="e">
        <v>#N/A</v>
      </c>
      <c r="AE8" s="1"/>
      <c r="AF8" s="1"/>
      <c r="AG8" s="1"/>
      <c r="AH8" s="1"/>
      <c r="AI8" s="1"/>
      <c r="AJ8" s="1">
        <f>HLOOKUP(AI7,AJ3:AM5,3,0)</f>
        <v>3</v>
      </c>
      <c r="AK8" s="133" t="s">
        <v>4300</v>
      </c>
    </row>
    <row r="9" spans="1:39" ht="14.85" customHeight="1">
      <c r="A9" s="1"/>
      <c r="B9" s="1"/>
      <c r="C9" s="1"/>
      <c r="D9" s="1"/>
      <c r="E9" s="1"/>
      <c r="F9" s="1"/>
      <c r="G9" s="1"/>
      <c r="H9" s="1"/>
      <c r="I9" s="1"/>
      <c r="J9" s="1"/>
      <c r="K9" s="1"/>
      <c r="L9" s="1"/>
      <c r="M9" s="1"/>
      <c r="N9" s="1"/>
      <c r="S9" s="1"/>
      <c r="T9" s="1"/>
      <c r="U9" s="133" t="e">
        <f>IF(W3=2,'Translate&amp;Prices&amp;Logo'!C96,0)</f>
        <v>#N/A</v>
      </c>
      <c r="V9" s="133" t="s">
        <v>1931</v>
      </c>
      <c r="Z9" s="133" t="e">
        <v>#N/A</v>
      </c>
      <c r="AE9" s="432">
        <f>IF(AND(Hlavní!V39=3,I16="Dostawa na adres"),IF(AE8=6,AJ7,HLOOKUP(AE8,AE6:AI7,2,0)),0)</f>
        <v>0</v>
      </c>
      <c r="AF9" s="1"/>
      <c r="AG9" s="1"/>
      <c r="AH9" s="1"/>
      <c r="AI9" s="1"/>
      <c r="AJ9" s="1">
        <f>I30</f>
        <v>0</v>
      </c>
      <c r="AK9" s="133" t="s">
        <v>4305</v>
      </c>
    </row>
    <row r="10" spans="1:39" ht="14.85" customHeight="1">
      <c r="A10" s="1"/>
      <c r="B10" s="1"/>
      <c r="C10" s="545" t="str">
        <f>'Translate&amp;Prices&amp;Logo'!$B$255</f>
        <v>NIP</v>
      </c>
      <c r="D10" s="545"/>
      <c r="E10" s="545"/>
      <c r="F10" s="545"/>
      <c r="G10" s="545"/>
      <c r="H10" s="283"/>
      <c r="I10" s="546"/>
      <c r="J10" s="546"/>
      <c r="K10" s="546"/>
      <c r="L10" s="546"/>
      <c r="M10" s="546"/>
      <c r="N10" s="546"/>
      <c r="S10" s="1"/>
      <c r="T10" s="1"/>
      <c r="U10" s="133">
        <f>IFERROR(IF(W3=3,(VLOOKUP(I27,'Translate&amp;Prices&amp;Logo'!B93:C95,2,0))*((I21/1000)*(I22/1000)),0),0)</f>
        <v>0</v>
      </c>
      <c r="V10" s="133" t="s">
        <v>1932</v>
      </c>
      <c r="Z10" s="133" t="e">
        <v>#N/A</v>
      </c>
      <c r="AJ10" s="133">
        <f>CEILING(AJ9/AJ8,1)</f>
        <v>0</v>
      </c>
      <c r="AK10" s="133" t="s">
        <v>4351</v>
      </c>
    </row>
    <row r="11" spans="1:39" ht="14.85" customHeight="1">
      <c r="A11" s="1"/>
      <c r="B11" s="1"/>
      <c r="C11" s="1"/>
      <c r="D11" s="1"/>
      <c r="E11" s="1"/>
      <c r="F11" s="1"/>
      <c r="G11" s="1"/>
      <c r="H11" s="1"/>
      <c r="I11" s="1"/>
      <c r="J11" s="1"/>
      <c r="K11" s="1"/>
      <c r="L11" s="1"/>
      <c r="M11" s="1"/>
      <c r="N11" s="1"/>
      <c r="S11" s="1"/>
      <c r="T11" s="1"/>
      <c r="Z11" s="133" t="e">
        <v>#N/A</v>
      </c>
      <c r="AJ11" s="133">
        <f>AJ10*AJ7</f>
        <v>0</v>
      </c>
      <c r="AK11" s="133" t="s">
        <v>3556</v>
      </c>
    </row>
    <row r="12" spans="1:39" ht="14.85" customHeight="1">
      <c r="A12" s="1"/>
      <c r="B12" s="1"/>
      <c r="C12" s="545" t="str">
        <f>'Translate&amp;Prices&amp;Logo'!$B$252</f>
        <v>Telefon kontaktowy</v>
      </c>
      <c r="D12" s="545"/>
      <c r="E12" s="545"/>
      <c r="F12" s="545"/>
      <c r="G12" s="545"/>
      <c r="H12" s="283"/>
      <c r="I12" s="546"/>
      <c r="J12" s="546"/>
      <c r="K12" s="546"/>
      <c r="L12" s="546"/>
      <c r="M12" s="546"/>
      <c r="N12" s="546"/>
      <c r="S12" s="1"/>
      <c r="T12" s="1"/>
      <c r="V12" s="133" t="str">
        <f>'Translate&amp;Prices&amp;Logo'!B97</f>
        <v>Połysk</v>
      </c>
      <c r="Z12" s="133" t="e">
        <v>#N/A</v>
      </c>
    </row>
    <row r="13" spans="1:39" ht="14.85" customHeight="1">
      <c r="A13" s="1"/>
      <c r="B13" s="1"/>
      <c r="C13" s="1"/>
      <c r="D13" s="1"/>
      <c r="E13" s="1"/>
      <c r="F13" s="1"/>
      <c r="G13" s="1"/>
      <c r="H13" s="1"/>
      <c r="I13" s="1"/>
      <c r="J13" s="1"/>
      <c r="K13" s="1"/>
      <c r="L13" s="1"/>
      <c r="M13" s="1"/>
      <c r="N13" s="1"/>
      <c r="S13" s="1"/>
      <c r="T13" s="1"/>
      <c r="V13" s="133" t="str">
        <f>'Translate&amp;Prices&amp;Logo'!B98</f>
        <v>Matowy</v>
      </c>
      <c r="Z13" s="133" t="e">
        <v>#N/A</v>
      </c>
    </row>
    <row r="14" spans="1:39" ht="14.85" customHeight="1">
      <c r="A14" s="1"/>
      <c r="B14" s="1"/>
      <c r="C14" s="545" t="str">
        <f>'Translate&amp;Prices&amp;Logo'!$B$725</f>
        <v>Rabat</v>
      </c>
      <c r="D14" s="545"/>
      <c r="E14" s="545"/>
      <c r="F14" s="545"/>
      <c r="G14" s="545"/>
      <c r="H14" s="283"/>
      <c r="I14" s="546"/>
      <c r="J14" s="546"/>
      <c r="K14" s="546"/>
      <c r="L14" s="546"/>
      <c r="M14" s="546"/>
      <c r="N14" s="546"/>
      <c r="S14" s="1"/>
      <c r="T14" s="1"/>
      <c r="Z14" s="133" t="e">
        <v>#N/A</v>
      </c>
    </row>
    <row r="15" spans="1:39" ht="14.85" customHeight="1">
      <c r="A15" s="1"/>
      <c r="B15" s="1"/>
      <c r="C15" s="1"/>
      <c r="D15" s="1"/>
      <c r="E15" s="1"/>
      <c r="F15" s="1"/>
      <c r="G15" s="1"/>
      <c r="H15" s="1"/>
      <c r="I15" s="1"/>
      <c r="J15" s="1"/>
      <c r="K15" s="1"/>
      <c r="L15" s="1"/>
      <c r="M15" s="1"/>
      <c r="N15" s="1"/>
      <c r="O15" s="1"/>
      <c r="P15" s="287"/>
      <c r="Q15" s="287"/>
      <c r="R15" s="287"/>
      <c r="S15" s="287"/>
      <c r="T15" s="287"/>
      <c r="Z15" s="133" t="e">
        <v>#N/A</v>
      </c>
    </row>
    <row r="16" spans="1:39" ht="14.85" customHeight="1">
      <c r="A16" s="1"/>
      <c r="B16" s="1"/>
      <c r="C16" s="527" t="str">
        <f>IF(Hlavní!V39=3,"Dostawa","")</f>
        <v>Dostawa</v>
      </c>
      <c r="D16" s="527"/>
      <c r="E16" s="527"/>
      <c r="F16" s="527"/>
      <c r="G16" s="527"/>
      <c r="H16" s="31"/>
      <c r="I16" s="560"/>
      <c r="J16" s="560"/>
      <c r="K16" s="560"/>
      <c r="L16" s="560"/>
      <c r="M16" s="560"/>
      <c r="N16" s="560"/>
      <c r="P16" s="287"/>
      <c r="Q16" s="287"/>
      <c r="R16" s="287"/>
      <c r="S16" s="287"/>
      <c r="T16" s="287"/>
      <c r="V16" s="133" t="e">
        <f>VLOOKUP(I29,'Translate&amp;Prices&amp;Logo'!B97:C98,2,0)</f>
        <v>#N/A</v>
      </c>
      <c r="W16" s="133" t="e">
        <f>V16*(2*(I21/1000))*(2*(I22/1000))</f>
        <v>#N/A</v>
      </c>
      <c r="Z16" s="133" t="e">
        <v>#N/A</v>
      </c>
    </row>
    <row r="17" spans="1:26" ht="48.75" customHeight="1">
      <c r="A17" s="1"/>
      <c r="B17" s="1"/>
      <c r="C17" s="534" t="str">
        <f>IF(I16="Dostawa na adres","W przypadku wyboru DOSTAWA NA ADRES do zamówienia zostanie automatycznie doliczona opłata transportowa","")</f>
        <v/>
      </c>
      <c r="D17" s="534"/>
      <c r="E17" s="534"/>
      <c r="F17" s="534"/>
      <c r="G17" s="534"/>
      <c r="H17" s="534"/>
      <c r="I17" s="534"/>
      <c r="J17" s="534"/>
      <c r="K17" s="534"/>
      <c r="L17" s="534"/>
      <c r="M17" s="534"/>
      <c r="N17" s="534"/>
      <c r="P17" s="287"/>
      <c r="R17" s="530" t="str">
        <f>IF(I16="Dostawa na adres","Cennik transportu - kliknij tutaj","")</f>
        <v/>
      </c>
      <c r="S17" s="530"/>
      <c r="T17" s="530"/>
      <c r="Z17" s="133" t="e">
        <v>#N/A</v>
      </c>
    </row>
    <row r="18" spans="1:26" ht="14.85" customHeight="1">
      <c r="A18" s="1"/>
      <c r="B18" s="1"/>
      <c r="C18" s="527" t="str">
        <f>IF(Hlavní!V39=3,"Adres","")</f>
        <v>Adres</v>
      </c>
      <c r="D18" s="527"/>
      <c r="E18" s="527"/>
      <c r="F18" s="527"/>
      <c r="G18" s="527"/>
      <c r="H18" s="31"/>
      <c r="I18" s="553"/>
      <c r="J18" s="553"/>
      <c r="K18" s="553"/>
      <c r="L18" s="553"/>
      <c r="M18" s="553"/>
      <c r="N18" s="553"/>
      <c r="O18" s="553"/>
      <c r="P18" s="553"/>
      <c r="Q18" s="553"/>
      <c r="R18" s="553"/>
      <c r="S18" s="1"/>
      <c r="T18" s="1"/>
      <c r="Z18" s="133" t="e">
        <v>#N/A</v>
      </c>
    </row>
    <row r="19" spans="1:26" ht="14.85" customHeight="1">
      <c r="A19" s="1"/>
      <c r="B19" s="1"/>
      <c r="I19" s="553"/>
      <c r="J19" s="553"/>
      <c r="K19" s="553"/>
      <c r="L19" s="553"/>
      <c r="M19" s="553"/>
      <c r="N19" s="553"/>
      <c r="O19" s="553"/>
      <c r="P19" s="553"/>
      <c r="Q19" s="553"/>
      <c r="R19" s="553"/>
      <c r="S19" s="1"/>
      <c r="T19" s="1"/>
      <c r="V19" s="133">
        <f>IFERROR((VLOOKUP(I28,'Translate&amp;Prices&amp;Logo'!B101:D165,2,0))*((I21/1000)*(I22/1000))+U9+U10+W16,0)</f>
        <v>0</v>
      </c>
      <c r="Z19" s="133" t="e">
        <v>#N/A</v>
      </c>
    </row>
    <row r="20" spans="1:26" ht="14.85" customHeight="1">
      <c r="A20" s="1"/>
      <c r="B20" s="1"/>
      <c r="I20" s="1"/>
      <c r="J20" s="1"/>
      <c r="K20" s="1"/>
      <c r="L20" s="1"/>
      <c r="M20" s="1"/>
      <c r="N20" s="1"/>
      <c r="O20" s="1"/>
      <c r="P20" s="1"/>
      <c r="Q20" s="1"/>
      <c r="R20" s="1"/>
      <c r="S20" s="1"/>
      <c r="T20" s="1"/>
      <c r="Z20" s="133" t="e">
        <v>#N/A</v>
      </c>
    </row>
    <row r="21" spans="1:26" ht="14.85" customHeight="1">
      <c r="A21" s="1"/>
      <c r="B21" s="1"/>
      <c r="C21" s="525" t="str">
        <f>'Translate&amp;Prices&amp;Logo'!$B$177</f>
        <v>Szerokość</v>
      </c>
      <c r="D21" s="526"/>
      <c r="E21" s="526"/>
      <c r="F21" s="526"/>
      <c r="G21" s="526"/>
      <c r="H21" s="98"/>
      <c r="I21" s="528"/>
      <c r="J21" s="528"/>
      <c r="K21" s="528"/>
      <c r="L21" s="528"/>
      <c r="M21" s="528"/>
      <c r="N21" s="528"/>
      <c r="O21" s="528"/>
      <c r="P21" s="528"/>
      <c r="Q21" s="528"/>
      <c r="R21" s="529"/>
      <c r="S21" s="1"/>
      <c r="T21" s="1"/>
      <c r="Z21" s="133" t="e">
        <v>#N/A</v>
      </c>
    </row>
    <row r="22" spans="1:26" ht="14.85" customHeight="1">
      <c r="A22" s="1"/>
      <c r="B22" s="1"/>
      <c r="C22" s="525" t="str">
        <f>'Translate&amp;Prices&amp;Logo'!$B$178</f>
        <v>Wysokość</v>
      </c>
      <c r="D22" s="526"/>
      <c r="E22" s="526"/>
      <c r="F22" s="526"/>
      <c r="G22" s="526"/>
      <c r="H22" s="98"/>
      <c r="I22" s="528"/>
      <c r="J22" s="528"/>
      <c r="K22" s="528"/>
      <c r="L22" s="528"/>
      <c r="M22" s="528"/>
      <c r="N22" s="528"/>
      <c r="O22" s="528"/>
      <c r="P22" s="528"/>
      <c r="Q22" s="528"/>
      <c r="R22" s="529"/>
      <c r="S22" s="1"/>
      <c r="T22" s="1"/>
      <c r="Z22" s="133" t="e">
        <v>#N/A</v>
      </c>
    </row>
    <row r="23" spans="1:26" ht="14.85" customHeight="1">
      <c r="C23" s="118"/>
      <c r="D23" s="116"/>
      <c r="E23" s="116"/>
      <c r="F23" s="116"/>
      <c r="G23" s="116"/>
      <c r="H23" s="1"/>
      <c r="I23" s="1"/>
      <c r="J23" s="1"/>
      <c r="K23" s="1"/>
      <c r="L23" s="1"/>
      <c r="M23" s="1"/>
      <c r="N23" s="1"/>
      <c r="O23" s="1"/>
      <c r="P23" s="1"/>
      <c r="Q23" s="1"/>
      <c r="R23" s="117"/>
      <c r="V23" s="133" t="str">
        <f>'Translate&amp;Prices&amp;Logo'!B93</f>
        <v>transparentna</v>
      </c>
      <c r="Z23" s="133" t="e">
        <v>#N/A</v>
      </c>
    </row>
    <row r="24" spans="1:26" ht="14.85" customHeight="1">
      <c r="C24" s="525" t="str">
        <f>'Translate&amp;Prices&amp;Logo'!$B$175</f>
        <v>Rodzaj szkła</v>
      </c>
      <c r="D24" s="526"/>
      <c r="E24" s="526"/>
      <c r="F24" s="526"/>
      <c r="G24" s="526"/>
      <c r="H24" s="98"/>
      <c r="I24" s="543"/>
      <c r="J24" s="543"/>
      <c r="K24" s="543"/>
      <c r="L24" s="543"/>
      <c r="M24" s="543"/>
      <c r="N24" s="543"/>
      <c r="O24" s="543"/>
      <c r="P24" s="543"/>
      <c r="Q24" s="543"/>
      <c r="R24" s="544"/>
      <c r="V24" s="133" t="str">
        <f>'Translate&amp;Prices&amp;Logo'!B94</f>
        <v>Biała</v>
      </c>
      <c r="Z24" s="133" t="e">
        <v>#N/A</v>
      </c>
    </row>
    <row r="25" spans="1:26" ht="14.85" customHeight="1">
      <c r="C25" s="119"/>
      <c r="D25" s="115"/>
      <c r="E25" s="115"/>
      <c r="F25" s="115"/>
      <c r="G25" s="115"/>
      <c r="H25" s="99"/>
      <c r="I25" s="99"/>
      <c r="J25" s="99"/>
      <c r="K25" s="99"/>
      <c r="L25" s="99"/>
      <c r="M25" s="99"/>
      <c r="N25" s="99"/>
      <c r="O25" s="99"/>
      <c r="P25" s="99"/>
      <c r="Q25" s="99"/>
      <c r="R25" s="99"/>
      <c r="V25" s="133" t="str">
        <f>'Translate&amp;Prices&amp;Logo'!B95</f>
        <v>czarna</v>
      </c>
      <c r="Z25" s="133" t="e">
        <v>#N/A</v>
      </c>
    </row>
    <row r="26" spans="1:26" ht="14.85" customHeight="1">
      <c r="C26" s="119"/>
      <c r="D26" s="115"/>
      <c r="E26" s="115"/>
      <c r="F26" s="115"/>
      <c r="G26" s="115"/>
      <c r="H26" s="99"/>
      <c r="I26" s="556" t="str">
        <f>"↥↥"&amp;"   "&amp;'Translate&amp;Prices&amp;Logo'!$B$575&amp;" "&amp;C28&amp;"   "&amp;"↥↥"</f>
        <v>↥↥   Nie zmieniaj po wybraniu rodzaj szkła/siatka Rodzaj szkła/siatka   ↥↥</v>
      </c>
      <c r="J26" s="556"/>
      <c r="K26" s="556"/>
      <c r="L26" s="556"/>
      <c r="M26" s="556"/>
      <c r="N26" s="556"/>
      <c r="O26" s="556"/>
      <c r="P26" s="556"/>
      <c r="Q26" s="556"/>
      <c r="R26" s="557"/>
      <c r="Z26" s="133" t="e">
        <v>#N/A</v>
      </c>
    </row>
    <row r="27" spans="1:26" ht="14.85" customHeight="1">
      <c r="C27" s="525" t="str">
        <f>'Translate&amp;Prices&amp;Logo'!$B$564</f>
        <v>Rodzaj folii</v>
      </c>
      <c r="D27" s="526"/>
      <c r="E27" s="526"/>
      <c r="F27" s="526"/>
      <c r="G27" s="526"/>
      <c r="H27" s="98"/>
      <c r="I27" s="541"/>
      <c r="J27" s="541"/>
      <c r="K27" s="541"/>
      <c r="L27" s="541"/>
      <c r="M27" s="541"/>
      <c r="N27" s="541"/>
      <c r="O27" s="541"/>
      <c r="P27" s="541"/>
      <c r="Q27" s="541"/>
      <c r="R27" s="542"/>
      <c r="Z27" s="133" t="e">
        <v>#N/A</v>
      </c>
    </row>
    <row r="28" spans="1:26" ht="14.85" customHeight="1">
      <c r="C28" s="525" t="str">
        <f>'Translate&amp;Prices&amp;Logo'!$B$627</f>
        <v>Rodzaj szkła/siatka</v>
      </c>
      <c r="D28" s="526"/>
      <c r="E28" s="526"/>
      <c r="F28" s="526"/>
      <c r="G28" s="526"/>
      <c r="H28" s="98"/>
      <c r="I28" s="541"/>
      <c r="J28" s="541"/>
      <c r="K28" s="541"/>
      <c r="L28" s="541"/>
      <c r="M28" s="541"/>
      <c r="N28" s="541"/>
      <c r="O28" s="541"/>
      <c r="P28" s="541"/>
      <c r="Q28" s="541"/>
      <c r="R28" s="542"/>
      <c r="Z28" s="133" t="e">
        <v>#N/A</v>
      </c>
    </row>
    <row r="29" spans="1:26" ht="14.85" customHeight="1">
      <c r="C29" s="525" t="str">
        <f>'Translate&amp;Prices&amp;Logo'!$B$660</f>
        <v>Szlifowanie krawędzi</v>
      </c>
      <c r="D29" s="526"/>
      <c r="E29" s="526"/>
      <c r="F29" s="526"/>
      <c r="G29" s="526"/>
      <c r="H29" s="98"/>
      <c r="I29" s="541"/>
      <c r="J29" s="541"/>
      <c r="K29" s="541"/>
      <c r="L29" s="541"/>
      <c r="M29" s="541"/>
      <c r="N29" s="541"/>
      <c r="O29" s="541"/>
      <c r="P29" s="541"/>
      <c r="Q29" s="541"/>
      <c r="R29" s="542"/>
      <c r="Z29" s="133" t="e">
        <v>#N/A</v>
      </c>
    </row>
    <row r="30" spans="1:26" ht="14.85" customHeight="1">
      <c r="C30" s="525" t="str">
        <f>('Translate&amp;Prices&amp;Logo'!$B$176)</f>
        <v>Ilość sztuk</v>
      </c>
      <c r="D30" s="526"/>
      <c r="E30" s="526"/>
      <c r="F30" s="526"/>
      <c r="G30" s="526"/>
      <c r="H30" s="98"/>
      <c r="I30" s="541"/>
      <c r="J30" s="541"/>
      <c r="K30" s="541"/>
      <c r="L30" s="541"/>
      <c r="M30" s="541"/>
      <c r="N30" s="541"/>
      <c r="O30" s="541"/>
      <c r="P30" s="541"/>
      <c r="Q30" s="541"/>
      <c r="R30" s="542"/>
      <c r="Z30" s="133" t="e">
        <v>#N/A</v>
      </c>
    </row>
    <row r="31" spans="1:26" ht="14.85" customHeight="1">
      <c r="C31" s="120"/>
      <c r="D31" s="1"/>
      <c r="E31" s="1"/>
      <c r="F31" s="1"/>
      <c r="G31" s="1"/>
      <c r="H31" s="1"/>
      <c r="I31" s="1"/>
      <c r="J31" s="1"/>
      <c r="K31" s="1"/>
      <c r="L31" s="1"/>
      <c r="M31" s="1"/>
      <c r="N31" s="1"/>
      <c r="O31" s="1"/>
      <c r="P31" s="1"/>
      <c r="Q31" s="1"/>
      <c r="R31" s="117"/>
      <c r="Z31" s="133" t="e">
        <v>#N/A</v>
      </c>
    </row>
    <row r="32" spans="1:26" ht="14.85" customHeight="1">
      <c r="C32" s="535" t="str">
        <f>'Translate&amp;Prices&amp;Logo'!$B$694</f>
        <v>Suma</v>
      </c>
      <c r="D32" s="536"/>
      <c r="E32" s="536"/>
      <c r="F32" s="536"/>
      <c r="G32" s="536"/>
      <c r="H32" s="536"/>
      <c r="I32" s="536"/>
      <c r="J32" s="536"/>
      <c r="K32" s="536"/>
      <c r="L32" s="539"/>
      <c r="M32" s="520">
        <f>V19*I30*(1-I14/100)</f>
        <v>0</v>
      </c>
      <c r="N32" s="520"/>
      <c r="O32" s="520"/>
      <c r="P32" s="520"/>
      <c r="Q32" s="520"/>
      <c r="R32" s="522" t="str">
        <f>VLOOKUP('Translate&amp;Prices&amp;Logo'!D1,'závěsy dle výklopu'!A204:B209,2,0)</f>
        <v>zl</v>
      </c>
      <c r="Z32" s="133" t="e">
        <v>#N/A</v>
      </c>
    </row>
    <row r="33" spans="3:26" ht="14.85" customHeight="1">
      <c r="C33" s="537"/>
      <c r="D33" s="538"/>
      <c r="E33" s="538"/>
      <c r="F33" s="538"/>
      <c r="G33" s="538"/>
      <c r="H33" s="538"/>
      <c r="I33" s="538"/>
      <c r="J33" s="538"/>
      <c r="K33" s="538"/>
      <c r="L33" s="540"/>
      <c r="M33" s="521"/>
      <c r="N33" s="521"/>
      <c r="O33" s="521"/>
      <c r="P33" s="521"/>
      <c r="Q33" s="521"/>
      <c r="R33" s="523"/>
      <c r="Z33" s="133" t="e">
        <v>#N/A</v>
      </c>
    </row>
    <row r="34" spans="3:26" ht="14.85" customHeight="1">
      <c r="Z34" s="133" t="e">
        <v>#N/A</v>
      </c>
    </row>
    <row r="35" spans="3:26" ht="14.85" customHeight="1">
      <c r="C35" s="532" t="str">
        <f>IF(I16="Dostawa na adres","Koszt transportu","")</f>
        <v/>
      </c>
      <c r="D35" s="532"/>
      <c r="E35" s="532"/>
      <c r="F35" s="532"/>
      <c r="G35" s="532"/>
      <c r="H35" s="532"/>
      <c r="I35" s="532"/>
      <c r="J35" s="532"/>
      <c r="K35" s="532"/>
      <c r="L35" s="533"/>
      <c r="M35" s="524" t="str">
        <f>IF(AND(I16="Dostawa na adres",I30&gt;0),AJ11,"")</f>
        <v/>
      </c>
      <c r="N35" s="524"/>
      <c r="O35" s="524"/>
      <c r="P35" s="524"/>
      <c r="Q35" s="524"/>
      <c r="R35" s="531" t="str">
        <f>VLOOKUP('Translate&amp;Prices&amp;Logo'!D1,'závěsy dle výklopu'!A204:B209,2,0)</f>
        <v>zl</v>
      </c>
      <c r="Z35" s="133" t="e">
        <v>#N/A</v>
      </c>
    </row>
    <row r="36" spans="3:26" ht="14.85" customHeight="1">
      <c r="C36" s="532"/>
      <c r="D36" s="532"/>
      <c r="E36" s="532"/>
      <c r="F36" s="532"/>
      <c r="G36" s="532"/>
      <c r="H36" s="532"/>
      <c r="I36" s="532"/>
      <c r="J36" s="532"/>
      <c r="K36" s="532"/>
      <c r="L36" s="533"/>
      <c r="M36" s="524"/>
      <c r="N36" s="524"/>
      <c r="O36" s="524"/>
      <c r="P36" s="524"/>
      <c r="Q36" s="524"/>
      <c r="R36" s="531"/>
      <c r="Z36" s="133" t="e">
        <v>#N/A</v>
      </c>
    </row>
    <row r="37" spans="3:26" ht="14.85" customHeight="1">
      <c r="Z37" s="133" t="e">
        <v>#N/A</v>
      </c>
    </row>
    <row r="38" spans="3:26" ht="14.85" customHeight="1">
      <c r="Z38" s="133" t="e">
        <v>#N/A</v>
      </c>
    </row>
    <row r="39" spans="3:26" ht="14.85" hidden="1" customHeight="1">
      <c r="Z39" s="133" t="e">
        <v>#N/A</v>
      </c>
    </row>
    <row r="40" spans="3:26" ht="14.85" hidden="1" customHeight="1">
      <c r="Z40" s="133" t="e">
        <v>#N/A</v>
      </c>
    </row>
    <row r="41" spans="3:26" ht="14.85" hidden="1" customHeight="1">
      <c r="Z41" s="133" t="e">
        <v>#N/A</v>
      </c>
    </row>
    <row r="42" spans="3:26" ht="14.85" hidden="1" customHeight="1">
      <c r="Z42" s="133" t="e">
        <v>#N/A</v>
      </c>
    </row>
    <row r="43" spans="3:26" ht="14.85" hidden="1" customHeight="1">
      <c r="Z43" s="133" t="e">
        <v>#N/A</v>
      </c>
    </row>
    <row r="44" spans="3:26" ht="14.85" hidden="1" customHeight="1">
      <c r="Z44" s="133" t="e">
        <v>#N/A</v>
      </c>
    </row>
    <row r="45" spans="3:26" ht="14.85" hidden="1" customHeight="1">
      <c r="Z45" s="133" t="e">
        <v>#N/A</v>
      </c>
    </row>
    <row r="46" spans="3:26" ht="14.85" hidden="1" customHeight="1">
      <c r="Z46" s="133" t="e">
        <v>#N/A</v>
      </c>
    </row>
    <row r="47" spans="3:26" ht="14.85" hidden="1" customHeight="1">
      <c r="Z47" s="133" t="e">
        <v>#N/A</v>
      </c>
    </row>
    <row r="48" spans="3:26" ht="14.85" hidden="1" customHeight="1">
      <c r="Z48" s="133" t="e">
        <v>#N/A</v>
      </c>
    </row>
    <row r="49" spans="26:26" ht="14.85" hidden="1" customHeight="1">
      <c r="Z49" s="133" t="e">
        <v>#N/A</v>
      </c>
    </row>
    <row r="50" spans="26:26" ht="14.85" hidden="1" customHeight="1">
      <c r="Z50" s="133" t="e">
        <v>#N/A</v>
      </c>
    </row>
    <row r="51" spans="26:26" ht="14.85" hidden="1" customHeight="1">
      <c r="Z51" s="133" t="e">
        <v>#N/A</v>
      </c>
    </row>
    <row r="52" spans="26:26" ht="14.85" hidden="1" customHeight="1">
      <c r="Z52" s="133" t="e">
        <v>#N/A</v>
      </c>
    </row>
    <row r="53" spans="26:26" ht="14.85" hidden="1" customHeight="1">
      <c r="Z53" s="133" t="e">
        <v>#N/A</v>
      </c>
    </row>
    <row r="54" spans="26:26" ht="14.85" hidden="1" customHeight="1">
      <c r="Z54" s="133" t="e">
        <v>#N/A</v>
      </c>
    </row>
    <row r="55" spans="26:26" ht="14.85" hidden="1" customHeight="1">
      <c r="Z55" s="133" t="e">
        <v>#N/A</v>
      </c>
    </row>
    <row r="56" spans="26:26" ht="14.85" hidden="1" customHeight="1">
      <c r="Z56" s="133" t="e">
        <v>#N/A</v>
      </c>
    </row>
    <row r="57" spans="26:26" ht="14.85" hidden="1" customHeight="1">
      <c r="Z57" s="133" t="e">
        <v>#N/A</v>
      </c>
    </row>
    <row r="58" spans="26:26" ht="14.85" hidden="1" customHeight="1">
      <c r="Z58" s="133" t="e">
        <v>#N/A</v>
      </c>
    </row>
    <row r="59" spans="26:26" ht="14.85" hidden="1" customHeight="1">
      <c r="Z59" s="133" t="e">
        <v>#N/A</v>
      </c>
    </row>
    <row r="60" spans="26:26" ht="14.85" hidden="1" customHeight="1">
      <c r="Z60" s="133" t="e">
        <v>#N/A</v>
      </c>
    </row>
    <row r="61" spans="26:26" ht="14.85" hidden="1" customHeight="1">
      <c r="Z61" s="133" t="e">
        <v>#N/A</v>
      </c>
    </row>
    <row r="62" spans="26:26" ht="14.85" hidden="1" customHeight="1">
      <c r="Z62" s="133" t="e">
        <v>#N/A</v>
      </c>
    </row>
    <row r="63" spans="26:26" ht="14.85" hidden="1" customHeight="1">
      <c r="Z63" s="133" t="e">
        <v>#N/A</v>
      </c>
    </row>
    <row r="64" spans="26:26" ht="14.85" hidden="1" customHeight="1">
      <c r="Z64" s="133" t="e">
        <v>#N/A</v>
      </c>
    </row>
  </sheetData>
  <sheetProtection algorithmName="SHA-512" hashValue="JKW8ca/7Ccsjp7s0AJYYpQlQSVUigOv6Uxr+z8Fhx1qrAOrMRgp6oJdh+xM8htODw682P1wUIj7XoFqmw1JrRg==" saltValue="rlkxANDqqzaoB50KbHIDKQ==" spinCount="100000" sheet="1" objects="1" scenarios="1" selectLockedCells="1"/>
  <mergeCells count="42">
    <mergeCell ref="AL2:AM2"/>
    <mergeCell ref="AE6:AH6"/>
    <mergeCell ref="AL5:AM5"/>
    <mergeCell ref="I30:R30"/>
    <mergeCell ref="I18:R19"/>
    <mergeCell ref="I29:R29"/>
    <mergeCell ref="Q2:T3"/>
    <mergeCell ref="I26:R26"/>
    <mergeCell ref="E2:P3"/>
    <mergeCell ref="I16:N16"/>
    <mergeCell ref="C18:G18"/>
    <mergeCell ref="C21:G21"/>
    <mergeCell ref="C22:G22"/>
    <mergeCell ref="I27:R27"/>
    <mergeCell ref="C8:G8"/>
    <mergeCell ref="I8:N8"/>
    <mergeCell ref="I24:R24"/>
    <mergeCell ref="C28:G28"/>
    <mergeCell ref="C29:G29"/>
    <mergeCell ref="C30:G30"/>
    <mergeCell ref="C10:G10"/>
    <mergeCell ref="I10:N10"/>
    <mergeCell ref="C12:G12"/>
    <mergeCell ref="I12:N12"/>
    <mergeCell ref="C14:G14"/>
    <mergeCell ref="I14:N14"/>
    <mergeCell ref="M32:Q33"/>
    <mergeCell ref="R32:R33"/>
    <mergeCell ref="M35:Q36"/>
    <mergeCell ref="C27:G27"/>
    <mergeCell ref="C16:G16"/>
    <mergeCell ref="C24:G24"/>
    <mergeCell ref="I21:R21"/>
    <mergeCell ref="R17:T17"/>
    <mergeCell ref="R35:R36"/>
    <mergeCell ref="C35:K36"/>
    <mergeCell ref="L35:L36"/>
    <mergeCell ref="C17:N17"/>
    <mergeCell ref="C32:K33"/>
    <mergeCell ref="L32:L33"/>
    <mergeCell ref="I22:R22"/>
    <mergeCell ref="I28:R28"/>
  </mergeCells>
  <conditionalFormatting sqref="C18">
    <cfRule type="expression" dxfId="487" priority="13">
      <formula>$I$16="Dostawa na adres"</formula>
    </cfRule>
  </conditionalFormatting>
  <conditionalFormatting sqref="C35:K36">
    <cfRule type="expression" dxfId="485" priority="5">
      <formula>$I$16="Dostawa na adres"</formula>
    </cfRule>
  </conditionalFormatting>
  <conditionalFormatting sqref="C27:R27">
    <cfRule type="expression" dxfId="484" priority="18">
      <formula>$W$3&lt;3</formula>
    </cfRule>
  </conditionalFormatting>
  <conditionalFormatting sqref="H18">
    <cfRule type="expression" dxfId="482" priority="12">
      <formula>$I$16="Dostawa na adres"</formula>
    </cfRule>
  </conditionalFormatting>
  <conditionalFormatting sqref="I18">
    <cfRule type="expression" dxfId="480" priority="6">
      <formula>$I$16="Dostawa na adres"</formula>
    </cfRule>
  </conditionalFormatting>
  <conditionalFormatting sqref="I18:R19">
    <cfRule type="expression" dxfId="479" priority="2">
      <formula>$I$16="Dostawa na adres"</formula>
    </cfRule>
  </conditionalFormatting>
  <conditionalFormatting sqref="L35:L36">
    <cfRule type="expression" dxfId="478" priority="4">
      <formula>$I$16="Dostawa na adres"</formula>
    </cfRule>
  </conditionalFormatting>
  <conditionalFormatting sqref="M35 R35">
    <cfRule type="expression" dxfId="477" priority="3">
      <formula>$I$16="Dostawa na adres"</formula>
    </cfRule>
  </conditionalFormatting>
  <dataValidations count="7">
    <dataValidation type="list" allowBlank="1" showInputMessage="1" showErrorMessage="1" sqref="I24:R24" xr:uid="{B3F547F4-8FBD-4E93-A177-3532DC1FAC30}">
      <formula1>$V$5:$V$7</formula1>
    </dataValidation>
    <dataValidation type="list" allowBlank="1" showInputMessage="1" showErrorMessage="1" sqref="I29:R29" xr:uid="{6530A79F-C3BD-4C1D-A05F-B24940E7E9B7}">
      <formula1>$V$12:$V$13</formula1>
    </dataValidation>
    <dataValidation type="list" allowBlank="1" showInputMessage="1" showErrorMessage="1" sqref="I27:R27" xr:uid="{57978CA8-BCFD-4A97-A7F4-45B7F7C7113D}">
      <formula1>$V$23:$V$25</formula1>
    </dataValidation>
    <dataValidation type="list" allowBlank="1" showInputMessage="1" showErrorMessage="1" sqref="I16:N16" xr:uid="{CA4D24D7-2359-486A-A16B-34983D3F02D1}">
      <formula1>"Odbiór osobisty w Demos Katowice,Dostawa na adres"</formula1>
    </dataValidation>
    <dataValidation type="list" allowBlank="1" showInputMessage="1" showErrorMessage="1" sqref="R28" xr:uid="{90AAD1AD-979D-433E-8378-CD1EE0107013}">
      <formula1>IF(AJ2=1,_N1,IF(AJ2=2,_N2,IF(AJ2=3,_N3)))</formula1>
    </dataValidation>
    <dataValidation type="list" allowBlank="1" showInputMessage="1" showErrorMessage="1" sqref="I28:N28 Q28" xr:uid="{BE66702D-2263-453E-83E0-CB280FB46893}">
      <formula1>IF(W3=1,_N1,IF(W3=2,_N2,IF(W3=3,_N3)))</formula1>
    </dataValidation>
    <dataValidation type="list" allowBlank="1" showInputMessage="1" showErrorMessage="1" sqref="O28:P28" xr:uid="{4C987157-3E1E-459E-8077-C7390FF28380}">
      <formula1>IF(AC6=1,_N1,IF(AC6=2,_N2,IF(AC6=3,_N3)))</formula1>
    </dataValidation>
  </dataValidations>
  <hyperlinks>
    <hyperlink ref="Q2:T3" location="Hlavní!A1" display="Hlavní!A1" xr:uid="{9D9EF01F-ED04-4974-BD6F-CC5469539BD2}"/>
    <hyperlink ref="R17:T17" location="'cennik transportu PL'!A1" display="Cennik transportu - kliknij tutaj" xr:uid="{62372A6C-EF27-4674-B567-1803E81F5112}"/>
  </hyperlinks>
  <pageMargins left="0.7" right="0.7" top="0.78740157499999996" bottom="0.78740157499999996"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357377" r:id="rId3" name="Check Box 1967">
              <controlPr locked="0" defaultSize="0" autoFill="0" autoLine="0" autoPict="0">
                <anchor moveWithCells="1">
                  <from>
                    <xdr:col>15</xdr:col>
                    <xdr:colOff>0</xdr:colOff>
                    <xdr:row>0</xdr:row>
                    <xdr:rowOff>0</xdr:rowOff>
                  </from>
                  <to>
                    <xdr:col>15</xdr:col>
                    <xdr:colOff>0</xdr:colOff>
                    <xdr:row>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1359B762-CDC5-4D90-8BEB-230733FCBD55}">
            <xm:f>Hlavní!V39=3</xm:f>
            <x14:dxf>
              <fill>
                <patternFill>
                  <bgColor theme="3"/>
                </patternFill>
              </fill>
            </x14:dxf>
          </x14:cfRule>
          <xm:sqref>C16:G16</xm:sqref>
        </x14:conditionalFormatting>
        <x14:conditionalFormatting xmlns:xm="http://schemas.microsoft.com/office/excel/2006/main">
          <x14:cfRule type="expression" priority="9" id="{437E2C2F-1FA3-4CE7-BB92-7D7E5B329E05}">
            <xm:f>Hlavní!V39=3</xm:f>
            <x14:dxf>
              <fill>
                <patternFill>
                  <bgColor theme="2"/>
                </patternFill>
              </fill>
            </x14:dxf>
          </x14:cfRule>
          <xm:sqref>H16</xm:sqref>
        </x14:conditionalFormatting>
        <x14:conditionalFormatting xmlns:xm="http://schemas.microsoft.com/office/excel/2006/main">
          <x14:cfRule type="expression" priority="10" id="{934C97F5-DFF6-4CD0-91DB-1249D221EA5E}">
            <xm:f>Hlavní!V39=3</xm:f>
            <x14:dxf>
              <font>
                <color theme="0"/>
              </font>
              <fill>
                <patternFill>
                  <bgColor rgb="FF009EE0"/>
                </patternFill>
              </fill>
            </x14:dxf>
          </x14:cfRule>
          <xm:sqref>I16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F8FB-9098-49E5-A489-2A0333816592}">
  <sheetPr codeName="List26" filterMode="1"/>
  <dimension ref="A1:AE383"/>
  <sheetViews>
    <sheetView workbookViewId="0"/>
  </sheetViews>
  <sheetFormatPr defaultColWidth="15.5703125" defaultRowHeight="16.350000000000001" customHeight="1"/>
  <cols>
    <col min="1" max="2" width="31.5703125" style="34" bestFit="1" customWidth="1"/>
    <col min="3" max="3" width="14" style="34" bestFit="1" customWidth="1"/>
    <col min="4" max="4" width="43.42578125" style="34" customWidth="1"/>
    <col min="5" max="5" width="29.5703125" style="34" bestFit="1" customWidth="1"/>
    <col min="6" max="6" width="11.5703125" style="34" bestFit="1" customWidth="1"/>
    <col min="7" max="7" width="54.42578125" style="34" bestFit="1" customWidth="1"/>
    <col min="8" max="17" width="22.5703125" style="35" customWidth="1"/>
    <col min="18" max="18" width="26" style="35" customWidth="1"/>
    <col min="19" max="23" width="22.5703125" style="35" customWidth="1"/>
    <col min="27" max="28" width="15.5703125" style="34"/>
    <col min="29" max="29" width="21.5703125" style="34" bestFit="1" customWidth="1"/>
    <col min="30" max="30" width="5.5703125" style="34" customWidth="1"/>
    <col min="31" max="31" width="36.140625" style="34" customWidth="1"/>
    <col min="32" max="16384" width="15.5703125" style="34"/>
  </cols>
  <sheetData>
    <row r="1" spans="1:31" s="32" customFormat="1" ht="16.350000000000001" customHeight="1">
      <c r="A1" s="32" t="s">
        <v>1094</v>
      </c>
      <c r="B1" s="32" t="s">
        <v>1095</v>
      </c>
      <c r="C1" s="32" t="s">
        <v>1096</v>
      </c>
      <c r="E1" s="32" t="s">
        <v>1097</v>
      </c>
      <c r="F1" s="32" t="s">
        <v>126</v>
      </c>
      <c r="G1" s="32" t="s">
        <v>1108</v>
      </c>
      <c r="H1" s="33" t="s">
        <v>1098</v>
      </c>
      <c r="I1" s="33" t="s">
        <v>1099</v>
      </c>
      <c r="J1" s="33" t="s">
        <v>1100</v>
      </c>
      <c r="K1" s="33" t="str">
        <f>'Translate&amp;Prices&amp;Logo'!$B$630</f>
        <v>krzyżakowy, wkręt</v>
      </c>
      <c r="L1" s="33">
        <v>6</v>
      </c>
      <c r="M1" s="33" t="str">
        <f>'Translate&amp;Prices&amp;Logo'!$B$631</f>
        <v>na wkręt (z mimośrodem)</v>
      </c>
      <c r="N1" s="33">
        <v>8</v>
      </c>
      <c r="O1" s="33" t="str">
        <f>'Translate&amp;Prices&amp;Logo'!$B$632</f>
        <v>krzyżakowy eurowkręt</v>
      </c>
      <c r="P1" s="33">
        <v>10</v>
      </c>
      <c r="Q1" s="33" t="str">
        <f>'Translate&amp;Prices&amp;Logo'!$B$633</f>
        <v>krzyżakowy expando</v>
      </c>
      <c r="R1" s="33">
        <v>12</v>
      </c>
      <c r="S1" s="33" t="str">
        <f>'Translate&amp;Prices&amp;Logo'!$B$634</f>
        <v>prosty wkręt</v>
      </c>
      <c r="T1" s="33">
        <v>14</v>
      </c>
      <c r="U1" s="33" t="str">
        <f>'Translate&amp;Prices&amp;Logo'!$B$635</f>
        <v>prosty eurowkręt</v>
      </c>
      <c r="V1" s="33">
        <v>16</v>
      </c>
      <c r="W1" s="33" t="str">
        <f>'Translate&amp;Prices&amp;Logo'!$B$636</f>
        <v>prosty expando</v>
      </c>
      <c r="X1" s="32">
        <v>18</v>
      </c>
      <c r="AC1" s="33" t="str">
        <f>$K$1</f>
        <v>krzyżakowy, wkręt</v>
      </c>
      <c r="AD1" s="159">
        <v>6</v>
      </c>
      <c r="AE1" s="32" t="e">
        <f>VLOOKUP(Ram_1!$H$15,$G:$X,AD1,0)</f>
        <v>#N/A</v>
      </c>
    </row>
    <row r="2" spans="1:31" ht="16.350000000000001" customHeight="1">
      <c r="A2" s="37" t="s">
        <v>1101</v>
      </c>
      <c r="B2" s="37" t="s">
        <v>2</v>
      </c>
      <c r="C2" s="37" t="str">
        <f>'Translate&amp;Prices&amp;Logo'!B555</f>
        <v>Nakładany</v>
      </c>
      <c r="D2" s="32" t="str">
        <f>VLOOKUP(CONCATENATE(A2,"_",B2,"_",C2),$A$69:$B$383,2,0)</f>
        <v>úzký_BLUM_Naložený</v>
      </c>
      <c r="E2" s="37" t="str">
        <f>'Translate&amp;Prices&amp;Logo'!$B$584</f>
        <v>ze sprężyną z tłumieniem</v>
      </c>
      <c r="F2" s="34" t="str">
        <f>'Translate&amp;Prices&amp;Logo'!$B$587</f>
        <v>srebro</v>
      </c>
      <c r="G2" s="34" t="str">
        <f>CONCATENATE(H2," ","-"," ",C2," ",E2," - ",F2)</f>
        <v>118033 - Nakładany ze sprężyną z tłumieniem - srebro</v>
      </c>
      <c r="H2" s="35">
        <v>118033</v>
      </c>
      <c r="I2" s="35" t="s">
        <v>1103</v>
      </c>
      <c r="J2" s="35" t="s">
        <v>1103</v>
      </c>
      <c r="K2" s="35">
        <v>12306</v>
      </c>
      <c r="L2" s="35" t="str">
        <f>CONCATENATE($K$1," - ",K2)</f>
        <v>krzyżakowy, wkręt - 12306</v>
      </c>
      <c r="M2" s="35" t="s">
        <v>2118</v>
      </c>
      <c r="N2" s="35" t="str">
        <f>CONCATENATE($M$1," - ",M2)</f>
        <v>na wkręt (z mimośrodem) - N/A</v>
      </c>
      <c r="O2" s="35">
        <v>12318</v>
      </c>
      <c r="P2" s="35" t="str">
        <f>CONCATENATE($O$1," - ",O2)</f>
        <v>krzyżakowy eurowkręt - 12318</v>
      </c>
      <c r="Q2" s="35">
        <v>12302</v>
      </c>
      <c r="R2" s="35" t="str">
        <f>CONCATENATE($Q$1," - ",Q2)</f>
        <v>krzyżakowy expando - 12302</v>
      </c>
      <c r="S2" s="35">
        <v>203387</v>
      </c>
      <c r="T2" s="35" t="str">
        <f>CONCATENATE($S$1," - ",S2)</f>
        <v>prosty wkręt - 203387</v>
      </c>
      <c r="U2" s="35">
        <v>346624</v>
      </c>
      <c r="V2" s="35" t="str">
        <f>CONCATENATE($U$1," - ",U2)</f>
        <v>prosty eurowkręt - 346624</v>
      </c>
      <c r="W2" s="35">
        <v>211476</v>
      </c>
      <c r="X2" s="35" t="str">
        <f>CONCATENATE($W$1," - ",W2)</f>
        <v>prosty expando - 211476</v>
      </c>
      <c r="Y2" s="34"/>
      <c r="Z2" s="34"/>
      <c r="AC2" s="33" t="str">
        <f>$M$1</f>
        <v>na wkręt (z mimośrodem)</v>
      </c>
      <c r="AD2" s="34">
        <v>8</v>
      </c>
      <c r="AE2" s="32" t="e">
        <f>VLOOKUP(Ram_1!$H$15,$G:$X,AD2,0)</f>
        <v>#N/A</v>
      </c>
    </row>
    <row r="3" spans="1:31" ht="16.350000000000001" customHeight="1">
      <c r="A3" s="37" t="s">
        <v>1101</v>
      </c>
      <c r="B3" s="37" t="s">
        <v>2</v>
      </c>
      <c r="C3" s="37" t="str">
        <f>'Translate&amp;Prices&amp;Logo'!B555</f>
        <v>Nakładany</v>
      </c>
      <c r="D3" s="32" t="str">
        <f t="shared" ref="D3:D66" si="0">VLOOKUP(CONCATENATE(A3,"_",B3,"_",C3),$A$69:$B$383,2,0)</f>
        <v>úzký_BLUM_Naložený</v>
      </c>
      <c r="E3" s="37" t="str">
        <f>'Translate&amp;Prices&amp;Logo'!$B$585</f>
        <v>ze sprężyną bez tłumienia</v>
      </c>
      <c r="F3" s="34" t="str">
        <f>'Translate&amp;Prices&amp;Logo'!$B$587</f>
        <v>srebro</v>
      </c>
      <c r="G3" s="34" t="str">
        <f t="shared" ref="G3:G20" si="1">CONCATENATE(H3," ","-"," ",C3," ",E3," - ",F3)</f>
        <v>12106 - Nakładany ze sprężyną bez tłumienia - srebro</v>
      </c>
      <c r="H3" s="35">
        <v>12106</v>
      </c>
      <c r="I3" s="35" t="s">
        <v>1103</v>
      </c>
      <c r="J3" s="35" t="s">
        <v>1103</v>
      </c>
      <c r="K3" s="35">
        <v>12306</v>
      </c>
      <c r="L3" s="35" t="str">
        <f t="shared" ref="L3:L66" si="2">CONCATENATE($K$1," - ",K3)</f>
        <v>krzyżakowy, wkręt - 12306</v>
      </c>
      <c r="M3" s="35" t="s">
        <v>2118</v>
      </c>
      <c r="N3" s="35" t="str">
        <f t="shared" ref="N3:N66" si="3">CONCATENATE($M$1," - ",M3)</f>
        <v>na wkręt (z mimośrodem) - N/A</v>
      </c>
      <c r="O3" s="35">
        <v>12318</v>
      </c>
      <c r="P3" s="35" t="str">
        <f t="shared" ref="P3:P66" si="4">CONCATENATE($O$1," - ",O3)</f>
        <v>krzyżakowy eurowkręt - 12318</v>
      </c>
      <c r="Q3" s="35">
        <v>12302</v>
      </c>
      <c r="R3" s="35" t="str">
        <f t="shared" ref="R3:R66" si="5">CONCATENATE($Q$1," - ",Q3)</f>
        <v>krzyżakowy expando - 12302</v>
      </c>
      <c r="S3" s="35">
        <v>203387</v>
      </c>
      <c r="T3" s="35" t="str">
        <f t="shared" ref="T3:T66" si="6">CONCATENATE($S$1," - ",S3)</f>
        <v>prosty wkręt - 203387</v>
      </c>
      <c r="U3" s="35">
        <v>346624</v>
      </c>
      <c r="V3" s="35" t="str">
        <f t="shared" ref="V3:V66" si="7">CONCATENATE($U$1," - ",U3)</f>
        <v>prosty eurowkręt - 346624</v>
      </c>
      <c r="W3" s="35">
        <v>211476</v>
      </c>
      <c r="X3" s="35" t="str">
        <f t="shared" ref="X3:X66" si="8">CONCATENATE($W$1," - ",W3)</f>
        <v>prosty expando - 211476</v>
      </c>
      <c r="Y3" s="34"/>
      <c r="Z3" s="34"/>
      <c r="AC3" s="33" t="str">
        <f>$O$1</f>
        <v>krzyżakowy eurowkręt</v>
      </c>
      <c r="AD3" s="159">
        <v>10</v>
      </c>
      <c r="AE3" s="32" t="e">
        <f>VLOOKUP(Ram_1!$H$15,$G:$X,AD3,0)</f>
        <v>#N/A</v>
      </c>
    </row>
    <row r="4" spans="1:31" ht="16.350000000000001" customHeight="1">
      <c r="A4" s="37" t="s">
        <v>1101</v>
      </c>
      <c r="B4" s="37" t="s">
        <v>2</v>
      </c>
      <c r="C4" s="37" t="str">
        <f>'Translate&amp;Prices&amp;Logo'!B555</f>
        <v>Nakładany</v>
      </c>
      <c r="D4" s="32" t="str">
        <f t="shared" si="0"/>
        <v>úzký_BLUM_Naložený</v>
      </c>
      <c r="E4" s="37" t="str">
        <f>'Translate&amp;Prices&amp;Logo'!$B$585</f>
        <v>ze sprężyną bez tłumienia</v>
      </c>
      <c r="F4" s="34" t="s">
        <v>2564</v>
      </c>
      <c r="G4" s="34" t="str">
        <f t="shared" si="1"/>
        <v>306329 - Nakładany ze sprężyną bez tłumienia - onyx</v>
      </c>
      <c r="H4" s="35">
        <v>306329</v>
      </c>
      <c r="I4" s="35" t="s">
        <v>1103</v>
      </c>
      <c r="J4" s="35" t="s">
        <v>1103</v>
      </c>
      <c r="K4" s="35">
        <v>458360</v>
      </c>
      <c r="L4" s="35" t="str">
        <f t="shared" si="2"/>
        <v>krzyżakowy, wkręt - 458360</v>
      </c>
      <c r="M4" s="35" t="s">
        <v>2118</v>
      </c>
      <c r="N4" s="35" t="str">
        <f t="shared" si="3"/>
        <v>na wkręt (z mimośrodem) - N/A</v>
      </c>
      <c r="O4" s="35" t="s">
        <v>2118</v>
      </c>
      <c r="P4" s="35" t="str">
        <f t="shared" si="4"/>
        <v>krzyżakowy eurowkręt - N/A</v>
      </c>
      <c r="Q4" s="35">
        <v>347124</v>
      </c>
      <c r="R4" s="35" t="str">
        <f t="shared" si="5"/>
        <v>krzyżakowy expando - 347124</v>
      </c>
      <c r="S4" s="35">
        <v>306320</v>
      </c>
      <c r="T4" s="35" t="str">
        <f t="shared" si="6"/>
        <v>prosty wkręt - 306320</v>
      </c>
      <c r="U4" s="35" t="s">
        <v>2118</v>
      </c>
      <c r="V4" s="35" t="str">
        <f t="shared" si="7"/>
        <v>prosty eurowkręt - N/A</v>
      </c>
      <c r="W4" s="35">
        <v>409651</v>
      </c>
      <c r="X4" s="35" t="str">
        <f t="shared" si="8"/>
        <v>prosty expando - 409651</v>
      </c>
      <c r="Y4" s="34"/>
      <c r="Z4" s="34"/>
      <c r="AC4" s="33" t="str">
        <f>$Q$1</f>
        <v>krzyżakowy expando</v>
      </c>
      <c r="AD4" s="34">
        <v>12</v>
      </c>
      <c r="AE4" s="32" t="e">
        <f>VLOOKUP(Ram_1!$H$15,$G:$X,AD4,0)</f>
        <v>#N/A</v>
      </c>
    </row>
    <row r="5" spans="1:31" ht="16.350000000000001" customHeight="1">
      <c r="A5" s="37" t="s">
        <v>1101</v>
      </c>
      <c r="B5" s="37" t="s">
        <v>2</v>
      </c>
      <c r="C5" s="37" t="str">
        <f>'Translate&amp;Prices&amp;Logo'!B555</f>
        <v>Nakładany</v>
      </c>
      <c r="D5" s="32" t="str">
        <f t="shared" si="0"/>
        <v>úzký_BLUM_Naložený</v>
      </c>
      <c r="E5" s="37" t="str">
        <f>'Translate&amp;Prices&amp;Logo'!$B$586</f>
        <v>tip-on bez sprężyny/tłumienie</v>
      </c>
      <c r="F5" s="34" t="str">
        <f>'Translate&amp;Prices&amp;Logo'!$B$587</f>
        <v>srebro</v>
      </c>
      <c r="G5" s="34" t="str">
        <f t="shared" si="1"/>
        <v>12109 - Nakładany tip-on bez sprężyny/tłumienie - srebro</v>
      </c>
      <c r="H5" s="35">
        <v>12109</v>
      </c>
      <c r="I5" s="35" t="s">
        <v>1103</v>
      </c>
      <c r="J5" s="35">
        <v>13764</v>
      </c>
      <c r="K5" s="35">
        <v>12306</v>
      </c>
      <c r="L5" s="35" t="str">
        <f t="shared" si="2"/>
        <v>krzyżakowy, wkręt - 12306</v>
      </c>
      <c r="M5" s="35" t="s">
        <v>2118</v>
      </c>
      <c r="N5" s="35" t="str">
        <f t="shared" si="3"/>
        <v>na wkręt (z mimośrodem) - N/A</v>
      </c>
      <c r="O5" s="35">
        <v>12318</v>
      </c>
      <c r="P5" s="35" t="str">
        <f t="shared" si="4"/>
        <v>krzyżakowy eurowkręt - 12318</v>
      </c>
      <c r="Q5" s="35">
        <v>12302</v>
      </c>
      <c r="R5" s="35" t="str">
        <f t="shared" si="5"/>
        <v>krzyżakowy expando - 12302</v>
      </c>
      <c r="S5" s="35">
        <v>203387</v>
      </c>
      <c r="T5" s="35" t="str">
        <f t="shared" si="6"/>
        <v>prosty wkręt - 203387</v>
      </c>
      <c r="U5" s="35">
        <v>346624</v>
      </c>
      <c r="V5" s="35" t="str">
        <f t="shared" si="7"/>
        <v>prosty eurowkręt - 346624</v>
      </c>
      <c r="W5" s="35">
        <v>211476</v>
      </c>
      <c r="X5" s="35" t="str">
        <f t="shared" si="8"/>
        <v>prosty expando - 211476</v>
      </c>
      <c r="Y5" s="34"/>
      <c r="Z5" s="34"/>
      <c r="AC5" s="33" t="str">
        <f>$S$1</f>
        <v>prosty wkręt</v>
      </c>
      <c r="AD5" s="159">
        <v>14</v>
      </c>
      <c r="AE5" s="32" t="e">
        <f>VLOOKUP(Ram_1!$H$15,$G:$X,AD5,0)</f>
        <v>#N/A</v>
      </c>
    </row>
    <row r="6" spans="1:31" ht="16.350000000000001" customHeight="1">
      <c r="A6" s="37" t="s">
        <v>1101</v>
      </c>
      <c r="B6" s="37" t="s">
        <v>2</v>
      </c>
      <c r="C6" s="37" t="str">
        <f>'Translate&amp;Prices&amp;Logo'!B555</f>
        <v>Nakładany</v>
      </c>
      <c r="D6" s="32" t="str">
        <f t="shared" ref="D6" si="9">VLOOKUP(CONCATENATE(A6,"_",B6,"_",C6),$A$69:$B$383,2,0)</f>
        <v>úzký_BLUM_Naložený</v>
      </c>
      <c r="E6" s="37" t="str">
        <f>'Translate&amp;Prices&amp;Logo'!$B$586</f>
        <v>tip-on bez sprężyny/tłumienie</v>
      </c>
      <c r="F6" s="34" t="s">
        <v>2564</v>
      </c>
      <c r="G6" s="34" t="str">
        <f t="shared" si="1"/>
        <v>497120 - Nakładany tip-on bez sprężyny/tłumienie - onyx</v>
      </c>
      <c r="H6" s="35">
        <v>497120</v>
      </c>
      <c r="Q6" s="35">
        <v>347124</v>
      </c>
      <c r="R6" s="35" t="str">
        <f t="shared" si="5"/>
        <v>krzyżakowy expando - 347124</v>
      </c>
      <c r="S6" s="35">
        <v>306320</v>
      </c>
      <c r="T6" s="35" t="str">
        <f>CONCATENATE($S$1," - ",S6)</f>
        <v>prosty wkręt - 306320</v>
      </c>
      <c r="X6" s="35"/>
      <c r="Y6" s="34"/>
      <c r="Z6" s="34"/>
      <c r="AC6" s="33"/>
      <c r="AD6" s="159"/>
      <c r="AE6" s="32"/>
    </row>
    <row r="7" spans="1:31" ht="16.350000000000001" customHeight="1">
      <c r="A7" s="34" t="s">
        <v>1101</v>
      </c>
      <c r="B7" s="34" t="s">
        <v>2</v>
      </c>
      <c r="C7" s="34" t="str">
        <f>'Translate&amp;Prices&amp;Logo'!B556</f>
        <v>Półnakładany</v>
      </c>
      <c r="D7" s="32" t="str">
        <f t="shared" si="0"/>
        <v>úzký_BLUM_Polonaložený</v>
      </c>
      <c r="E7" s="34" t="str">
        <f>'Translate&amp;Prices&amp;Logo'!$B$584</f>
        <v>ze sprężyną z tłumieniem</v>
      </c>
      <c r="F7" s="34" t="str">
        <f>'Translate&amp;Prices&amp;Logo'!$B$587</f>
        <v>srebro</v>
      </c>
      <c r="G7" s="34" t="str">
        <f t="shared" si="1"/>
        <v>118120 - Półnakładany ze sprężyną z tłumieniem - srebro</v>
      </c>
      <c r="H7" s="35">
        <v>118120</v>
      </c>
      <c r="I7" s="35" t="s">
        <v>1103</v>
      </c>
      <c r="J7" s="35" t="s">
        <v>1103</v>
      </c>
      <c r="K7" s="35">
        <v>12306</v>
      </c>
      <c r="L7" s="35" t="str">
        <f t="shared" si="2"/>
        <v>krzyżakowy, wkręt - 12306</v>
      </c>
      <c r="M7" s="35" t="s">
        <v>2118</v>
      </c>
      <c r="N7" s="35" t="str">
        <f t="shared" si="3"/>
        <v>na wkręt (z mimośrodem) - N/A</v>
      </c>
      <c r="O7" s="35">
        <v>12318</v>
      </c>
      <c r="P7" s="35" t="str">
        <f t="shared" si="4"/>
        <v>krzyżakowy eurowkręt - 12318</v>
      </c>
      <c r="Q7" s="35">
        <v>12302</v>
      </c>
      <c r="R7" s="35" t="str">
        <f t="shared" si="5"/>
        <v>krzyżakowy expando - 12302</v>
      </c>
      <c r="S7" s="35">
        <v>203387</v>
      </c>
      <c r="T7" s="35" t="str">
        <f t="shared" si="6"/>
        <v>prosty wkręt - 203387</v>
      </c>
      <c r="U7" s="35">
        <v>346624</v>
      </c>
      <c r="V7" s="35" t="str">
        <f t="shared" si="7"/>
        <v>prosty eurowkręt - 346624</v>
      </c>
      <c r="W7" s="35">
        <v>211476</v>
      </c>
      <c r="X7" s="35" t="str">
        <f t="shared" si="8"/>
        <v>prosty expando - 211476</v>
      </c>
      <c r="Y7" s="34"/>
      <c r="Z7" s="34"/>
      <c r="AC7" s="33" t="str">
        <f>$U$1</f>
        <v>prosty eurowkręt</v>
      </c>
      <c r="AD7" s="34">
        <v>16</v>
      </c>
      <c r="AE7" s="32" t="e">
        <f>VLOOKUP(Ram_1!$H$15,$G:$X,AD7,0)</f>
        <v>#N/A</v>
      </c>
    </row>
    <row r="8" spans="1:31" ht="16.350000000000001" customHeight="1">
      <c r="A8" s="34" t="s">
        <v>1101</v>
      </c>
      <c r="B8" s="34" t="s">
        <v>2</v>
      </c>
      <c r="C8" s="34" t="str">
        <f>'Translate&amp;Prices&amp;Logo'!B556</f>
        <v>Półnakładany</v>
      </c>
      <c r="D8" s="32" t="str">
        <f t="shared" si="0"/>
        <v>úzký_BLUM_Polonaložený</v>
      </c>
      <c r="E8" s="34" t="str">
        <f>'Translate&amp;Prices&amp;Logo'!$B$585</f>
        <v>ze sprężyną bez tłumienia</v>
      </c>
      <c r="F8" s="34" t="str">
        <f>'Translate&amp;Prices&amp;Logo'!$B$587</f>
        <v>srebro</v>
      </c>
      <c r="G8" s="34" t="str">
        <f t="shared" si="1"/>
        <v>12107 - Półnakładany ze sprężyną bez tłumienia - srebro</v>
      </c>
      <c r="H8" s="35">
        <v>12107</v>
      </c>
      <c r="I8" s="35" t="s">
        <v>1103</v>
      </c>
      <c r="J8" s="35" t="s">
        <v>1103</v>
      </c>
      <c r="K8" s="35">
        <v>12306</v>
      </c>
      <c r="L8" s="35" t="str">
        <f t="shared" si="2"/>
        <v>krzyżakowy, wkręt - 12306</v>
      </c>
      <c r="M8" s="35" t="s">
        <v>2118</v>
      </c>
      <c r="N8" s="35" t="str">
        <f t="shared" si="3"/>
        <v>na wkręt (z mimośrodem) - N/A</v>
      </c>
      <c r="O8" s="35">
        <v>12318</v>
      </c>
      <c r="P8" s="35" t="str">
        <f t="shared" si="4"/>
        <v>krzyżakowy eurowkręt - 12318</v>
      </c>
      <c r="Q8" s="35">
        <v>12302</v>
      </c>
      <c r="R8" s="35" t="str">
        <f t="shared" si="5"/>
        <v>krzyżakowy expando - 12302</v>
      </c>
      <c r="S8" s="35">
        <v>203387</v>
      </c>
      <c r="T8" s="35" t="str">
        <f t="shared" si="6"/>
        <v>prosty wkręt - 203387</v>
      </c>
      <c r="U8" s="35">
        <v>346624</v>
      </c>
      <c r="V8" s="35" t="str">
        <f t="shared" si="7"/>
        <v>prosty eurowkręt - 346624</v>
      </c>
      <c r="W8" s="35">
        <v>211476</v>
      </c>
      <c r="X8" s="35" t="str">
        <f t="shared" si="8"/>
        <v>prosty expando - 211476</v>
      </c>
      <c r="Y8" s="34"/>
      <c r="Z8" s="34"/>
      <c r="AC8" s="33" t="str">
        <f>$W$1</f>
        <v>prosty expando</v>
      </c>
      <c r="AD8" s="159">
        <v>18</v>
      </c>
      <c r="AE8" s="32" t="e">
        <f>VLOOKUP(Ram_1!$H$15,$G:$X,AD8,0)</f>
        <v>#N/A</v>
      </c>
    </row>
    <row r="9" spans="1:31" ht="16.350000000000001" customHeight="1">
      <c r="A9" s="37" t="s">
        <v>1101</v>
      </c>
      <c r="B9" s="37" t="s">
        <v>2</v>
      </c>
      <c r="C9" s="37" t="str">
        <f>'Translate&amp;Prices&amp;Logo'!B557</f>
        <v>Wpuszczany</v>
      </c>
      <c r="D9" s="32" t="str">
        <f t="shared" si="0"/>
        <v>úzký_BLUM_Vložený</v>
      </c>
      <c r="E9" s="37" t="str">
        <f>'Translate&amp;Prices&amp;Logo'!$B$584</f>
        <v>ze sprężyną z tłumieniem</v>
      </c>
      <c r="F9" s="34" t="str">
        <f>'Translate&amp;Prices&amp;Logo'!$B$587</f>
        <v>srebro</v>
      </c>
      <c r="G9" s="34" t="str">
        <f t="shared" si="1"/>
        <v>118121 - Wpuszczany ze sprężyną z tłumieniem - srebro</v>
      </c>
      <c r="H9" s="35">
        <v>118121</v>
      </c>
      <c r="I9" s="35" t="s">
        <v>1103</v>
      </c>
      <c r="J9" s="35" t="s">
        <v>1103</v>
      </c>
      <c r="K9" s="35">
        <v>12306</v>
      </c>
      <c r="L9" s="35" t="str">
        <f t="shared" si="2"/>
        <v>krzyżakowy, wkręt - 12306</v>
      </c>
      <c r="M9" s="35" t="s">
        <v>2118</v>
      </c>
      <c r="N9" s="35" t="str">
        <f t="shared" si="3"/>
        <v>na wkręt (z mimośrodem) - N/A</v>
      </c>
      <c r="O9" s="35">
        <v>12318</v>
      </c>
      <c r="P9" s="35" t="str">
        <f t="shared" si="4"/>
        <v>krzyżakowy eurowkręt - 12318</v>
      </c>
      <c r="Q9" s="35">
        <v>12302</v>
      </c>
      <c r="R9" s="35" t="str">
        <f t="shared" si="5"/>
        <v>krzyżakowy expando - 12302</v>
      </c>
      <c r="S9" s="35">
        <v>203387</v>
      </c>
      <c r="T9" s="35" t="str">
        <f t="shared" si="6"/>
        <v>prosty wkręt - 203387</v>
      </c>
      <c r="U9" s="35">
        <v>346624</v>
      </c>
      <c r="V9" s="35" t="str">
        <f t="shared" si="7"/>
        <v>prosty eurowkręt - 346624</v>
      </c>
      <c r="W9" s="35">
        <v>211476</v>
      </c>
      <c r="X9" s="35" t="str">
        <f t="shared" si="8"/>
        <v>prosty expando - 211476</v>
      </c>
      <c r="Y9" s="34"/>
      <c r="Z9" s="34"/>
    </row>
    <row r="10" spans="1:31" ht="15">
      <c r="A10" s="37" t="s">
        <v>1101</v>
      </c>
      <c r="B10" s="37" t="s">
        <v>2</v>
      </c>
      <c r="C10" s="37" t="str">
        <f>'Translate&amp;Prices&amp;Logo'!B557</f>
        <v>Wpuszczany</v>
      </c>
      <c r="D10" s="32" t="str">
        <f t="shared" si="0"/>
        <v>úzký_BLUM_Vložený</v>
      </c>
      <c r="E10" s="37" t="str">
        <f>'Translate&amp;Prices&amp;Logo'!$B$585</f>
        <v>ze sprężyną bez tłumienia</v>
      </c>
      <c r="F10" s="34" t="str">
        <f>'Translate&amp;Prices&amp;Logo'!$B$587</f>
        <v>srebro</v>
      </c>
      <c r="G10" s="34" t="str">
        <f t="shared" si="1"/>
        <v>12108 - Wpuszczany ze sprężyną bez tłumienia - srebro</v>
      </c>
      <c r="H10" s="35">
        <v>12108</v>
      </c>
      <c r="I10" s="35" t="s">
        <v>1103</v>
      </c>
      <c r="J10" s="35" t="s">
        <v>1103</v>
      </c>
      <c r="K10" s="35">
        <v>12306</v>
      </c>
      <c r="L10" s="35" t="str">
        <f t="shared" si="2"/>
        <v>krzyżakowy, wkręt - 12306</v>
      </c>
      <c r="M10" s="35" t="s">
        <v>2118</v>
      </c>
      <c r="N10" s="35" t="str">
        <f t="shared" si="3"/>
        <v>na wkręt (z mimośrodem) - N/A</v>
      </c>
      <c r="O10" s="35">
        <v>12318</v>
      </c>
      <c r="P10" s="35" t="str">
        <f t="shared" si="4"/>
        <v>krzyżakowy eurowkręt - 12318</v>
      </c>
      <c r="Q10" s="35">
        <v>12302</v>
      </c>
      <c r="R10" s="35" t="str">
        <f t="shared" si="5"/>
        <v>krzyżakowy expando - 12302</v>
      </c>
      <c r="S10" s="35">
        <v>203387</v>
      </c>
      <c r="T10" s="35" t="str">
        <f t="shared" si="6"/>
        <v>prosty wkręt - 203387</v>
      </c>
      <c r="U10" s="35">
        <v>346624</v>
      </c>
      <c r="V10" s="35" t="str">
        <f t="shared" si="7"/>
        <v>prosty eurowkręt - 346624</v>
      </c>
      <c r="W10" s="35">
        <v>211476</v>
      </c>
      <c r="X10" s="35" t="str">
        <f t="shared" si="8"/>
        <v>prosty expando - 211476</v>
      </c>
      <c r="Y10" s="34"/>
      <c r="Z10" s="34"/>
    </row>
    <row r="11" spans="1:31" ht="15">
      <c r="A11" s="34" t="s">
        <v>1101</v>
      </c>
      <c r="B11" s="34" t="s">
        <v>567</v>
      </c>
      <c r="C11" s="34" t="str">
        <f>'Translate&amp;Prices&amp;Logo'!B555</f>
        <v>Nakładany</v>
      </c>
      <c r="D11" s="32" t="str">
        <f t="shared" si="0"/>
        <v>úzký_HETTICH_Naložený</v>
      </c>
      <c r="E11" s="34" t="str">
        <f>'Translate&amp;Prices&amp;Logo'!$B$584</f>
        <v>ze sprężyną z tłumieniem</v>
      </c>
      <c r="F11" s="34" t="str">
        <f>'Translate&amp;Prices&amp;Logo'!$B$587</f>
        <v>srebro</v>
      </c>
      <c r="G11" s="34" t="str">
        <f t="shared" si="1"/>
        <v>300279 - Nakładany ze sprężyną z tłumieniem - srebro</v>
      </c>
      <c r="H11" s="35">
        <v>300279</v>
      </c>
      <c r="I11" s="35" t="s">
        <v>1103</v>
      </c>
      <c r="J11" s="35" t="s">
        <v>1103</v>
      </c>
      <c r="K11" s="35">
        <v>106403</v>
      </c>
      <c r="L11" s="35" t="str">
        <f t="shared" si="2"/>
        <v>krzyżakowy, wkręt - 106403</v>
      </c>
      <c r="M11" s="35" t="s">
        <v>2118</v>
      </c>
      <c r="N11" s="35" t="str">
        <f t="shared" si="3"/>
        <v>na wkręt (z mimośrodem) - N/A</v>
      </c>
      <c r="O11" s="35">
        <v>119240</v>
      </c>
      <c r="P11" s="35" t="str">
        <f t="shared" si="4"/>
        <v>krzyżakowy eurowkręt - 119240</v>
      </c>
      <c r="Q11" s="35">
        <v>136276</v>
      </c>
      <c r="R11" s="35" t="str">
        <f t="shared" si="5"/>
        <v>krzyżakowy expando - 136276</v>
      </c>
      <c r="S11" s="35">
        <v>300319</v>
      </c>
      <c r="T11" s="35" t="str">
        <f t="shared" si="6"/>
        <v>prosty wkręt - 300319</v>
      </c>
      <c r="U11" s="35" t="s">
        <v>2118</v>
      </c>
      <c r="V11" s="35" t="str">
        <f t="shared" si="7"/>
        <v>prosty eurowkręt - N/A</v>
      </c>
      <c r="W11" s="35" t="s">
        <v>2118</v>
      </c>
      <c r="X11" s="35" t="str">
        <f t="shared" si="8"/>
        <v>prosty expando - N/A</v>
      </c>
      <c r="Y11" s="34"/>
      <c r="Z11" s="34"/>
    </row>
    <row r="12" spans="1:31" ht="15">
      <c r="A12" s="34" t="s">
        <v>1101</v>
      </c>
      <c r="B12" s="34" t="s">
        <v>567</v>
      </c>
      <c r="C12" s="34" t="str">
        <f>'Translate&amp;Prices&amp;Logo'!B555</f>
        <v>Nakładany</v>
      </c>
      <c r="D12" s="32" t="str">
        <f t="shared" si="0"/>
        <v>úzký_HETTICH_Naložený</v>
      </c>
      <c r="E12" s="34" t="str">
        <f>'Translate&amp;Prices&amp;Logo'!$B$584</f>
        <v>ze sprężyną z tłumieniem</v>
      </c>
      <c r="F12" s="34" t="str">
        <f>'Translate&amp;Prices&amp;Logo'!$B$588</f>
        <v>czarny</v>
      </c>
      <c r="G12" s="34" t="str">
        <f t="shared" si="1"/>
        <v>344697 - Nakładany ze sprężyną z tłumieniem - czarny</v>
      </c>
      <c r="H12" s="35">
        <v>344697</v>
      </c>
      <c r="I12" s="35" t="s">
        <v>1103</v>
      </c>
      <c r="J12" s="35" t="s">
        <v>1103</v>
      </c>
      <c r="K12" s="35" t="s">
        <v>2118</v>
      </c>
      <c r="L12" s="35" t="str">
        <f t="shared" si="2"/>
        <v>krzyżakowy, wkręt - N/A</v>
      </c>
      <c r="M12" s="35" t="s">
        <v>2118</v>
      </c>
      <c r="N12" s="35" t="str">
        <f t="shared" si="3"/>
        <v>na wkręt (z mimośrodem) - N/A</v>
      </c>
      <c r="O12" s="35" t="s">
        <v>2118</v>
      </c>
      <c r="P12" s="35" t="str">
        <f t="shared" si="4"/>
        <v>krzyżakowy eurowkręt - N/A</v>
      </c>
      <c r="Q12" s="35">
        <v>344727</v>
      </c>
      <c r="R12" s="35" t="str">
        <f t="shared" si="5"/>
        <v>krzyżakowy expando - 344727</v>
      </c>
      <c r="S12" s="35">
        <v>397949</v>
      </c>
      <c r="T12" s="35" t="str">
        <f t="shared" si="6"/>
        <v>prosty wkręt - 397949</v>
      </c>
      <c r="U12" s="35" t="s">
        <v>2118</v>
      </c>
      <c r="V12" s="35" t="str">
        <f t="shared" si="7"/>
        <v>prosty eurowkręt - N/A</v>
      </c>
      <c r="W12" s="35" t="s">
        <v>2118</v>
      </c>
      <c r="X12" s="35" t="str">
        <f t="shared" si="8"/>
        <v>prosty expando - N/A</v>
      </c>
      <c r="Y12" s="34"/>
      <c r="Z12" s="34"/>
    </row>
    <row r="13" spans="1:31" ht="15">
      <c r="A13" s="34" t="s">
        <v>1101</v>
      </c>
      <c r="B13" s="34" t="s">
        <v>567</v>
      </c>
      <c r="C13" s="34" t="str">
        <f>'Translate&amp;Prices&amp;Logo'!B555</f>
        <v>Nakładany</v>
      </c>
      <c r="D13" s="32" t="str">
        <f t="shared" si="0"/>
        <v>úzký_HETTICH_Naložený</v>
      </c>
      <c r="E13" s="34" t="str">
        <f>'Translate&amp;Prices&amp;Logo'!$B$585</f>
        <v>ze sprężyną bez tłumienia</v>
      </c>
      <c r="F13" s="34" t="str">
        <f>'Translate&amp;Prices&amp;Logo'!$B$587</f>
        <v>srebro</v>
      </c>
      <c r="G13" s="34" t="str">
        <f t="shared" si="1"/>
        <v>300282 - Nakładany ze sprężyną bez tłumienia - srebro</v>
      </c>
      <c r="H13" s="35">
        <v>300282</v>
      </c>
      <c r="I13" s="35" t="s">
        <v>1103</v>
      </c>
      <c r="J13" s="35" t="s">
        <v>1103</v>
      </c>
      <c r="K13" s="35">
        <v>106403</v>
      </c>
      <c r="L13" s="35" t="str">
        <f t="shared" si="2"/>
        <v>krzyżakowy, wkręt - 106403</v>
      </c>
      <c r="M13" s="35" t="s">
        <v>2118</v>
      </c>
      <c r="N13" s="35" t="str">
        <f t="shared" si="3"/>
        <v>na wkręt (z mimośrodem) - N/A</v>
      </c>
      <c r="O13" s="35">
        <v>119240</v>
      </c>
      <c r="P13" s="35" t="str">
        <f t="shared" si="4"/>
        <v>krzyżakowy eurowkręt - 119240</v>
      </c>
      <c r="Q13" s="35">
        <v>136276</v>
      </c>
      <c r="R13" s="35" t="str">
        <f t="shared" si="5"/>
        <v>krzyżakowy expando - 136276</v>
      </c>
      <c r="S13" s="35">
        <v>300319</v>
      </c>
      <c r="T13" s="35" t="str">
        <f t="shared" si="6"/>
        <v>prosty wkręt - 300319</v>
      </c>
      <c r="U13" s="35" t="s">
        <v>2118</v>
      </c>
      <c r="V13" s="35" t="str">
        <f t="shared" si="7"/>
        <v>prosty eurowkręt - N/A</v>
      </c>
      <c r="W13" s="35" t="s">
        <v>2118</v>
      </c>
      <c r="X13" s="35" t="str">
        <f t="shared" si="8"/>
        <v>prosty expando - N/A</v>
      </c>
      <c r="Y13" s="34"/>
      <c r="Z13" s="34"/>
    </row>
    <row r="14" spans="1:31" ht="15">
      <c r="A14" s="34" t="s">
        <v>1101</v>
      </c>
      <c r="B14" s="34" t="s">
        <v>567</v>
      </c>
      <c r="C14" s="34" t="str">
        <f>'Translate&amp;Prices&amp;Logo'!B555</f>
        <v>Nakładany</v>
      </c>
      <c r="D14" s="32" t="str">
        <f t="shared" si="0"/>
        <v>úzký_HETTICH_Naložený</v>
      </c>
      <c r="E14" s="34" t="str">
        <f>'Translate&amp;Prices&amp;Logo'!$B$586</f>
        <v>tip-on bez sprężyny/tłumienie</v>
      </c>
      <c r="F14" s="34" t="str">
        <f>'Translate&amp;Prices&amp;Logo'!$B$587</f>
        <v>srebro</v>
      </c>
      <c r="G14" s="34" t="str">
        <f t="shared" si="1"/>
        <v>300285 - Nakładany tip-on bez sprężyny/tłumienie - srebro</v>
      </c>
      <c r="H14" s="35">
        <v>300285</v>
      </c>
      <c r="I14" s="35" t="s">
        <v>1103</v>
      </c>
      <c r="J14" s="35" t="s">
        <v>1103</v>
      </c>
      <c r="K14" s="35">
        <v>106403</v>
      </c>
      <c r="L14" s="35" t="str">
        <f t="shared" si="2"/>
        <v>krzyżakowy, wkręt - 106403</v>
      </c>
      <c r="M14" s="35" t="s">
        <v>2118</v>
      </c>
      <c r="N14" s="35" t="str">
        <f t="shared" si="3"/>
        <v>na wkręt (z mimośrodem) - N/A</v>
      </c>
      <c r="O14" s="35">
        <v>119240</v>
      </c>
      <c r="P14" s="35" t="str">
        <f t="shared" si="4"/>
        <v>krzyżakowy eurowkręt - 119240</v>
      </c>
      <c r="Q14" s="35">
        <v>136276</v>
      </c>
      <c r="R14" s="35" t="str">
        <f t="shared" si="5"/>
        <v>krzyżakowy expando - 136276</v>
      </c>
      <c r="S14" s="35">
        <v>300319</v>
      </c>
      <c r="T14" s="35" t="str">
        <f t="shared" si="6"/>
        <v>prosty wkręt - 300319</v>
      </c>
      <c r="U14" s="35" t="s">
        <v>2118</v>
      </c>
      <c r="V14" s="35" t="str">
        <f t="shared" si="7"/>
        <v>prosty eurowkręt - N/A</v>
      </c>
      <c r="W14" s="35" t="s">
        <v>2118</v>
      </c>
      <c r="X14" s="35" t="str">
        <f t="shared" si="8"/>
        <v>prosty expando - N/A</v>
      </c>
      <c r="Y14" s="34"/>
      <c r="Z14" s="34"/>
    </row>
    <row r="15" spans="1:31" ht="15">
      <c r="A15" s="37" t="s">
        <v>1101</v>
      </c>
      <c r="B15" s="37" t="s">
        <v>567</v>
      </c>
      <c r="C15" s="37" t="str">
        <f>'Translate&amp;Prices&amp;Logo'!B556</f>
        <v>Półnakładany</v>
      </c>
      <c r="D15" s="32" t="str">
        <f t="shared" si="0"/>
        <v>úzký_HETTICH_Polonaložený</v>
      </c>
      <c r="E15" s="37" t="str">
        <f>'Translate&amp;Prices&amp;Logo'!$B$584</f>
        <v>ze sprężyną z tłumieniem</v>
      </c>
      <c r="F15" s="34" t="str">
        <f>'Translate&amp;Prices&amp;Logo'!$B$587</f>
        <v>srebro</v>
      </c>
      <c r="G15" s="34" t="str">
        <f t="shared" si="1"/>
        <v>300280 - Półnakładany ze sprężyną z tłumieniem - srebro</v>
      </c>
      <c r="H15" s="35">
        <v>300280</v>
      </c>
      <c r="I15" s="35" t="s">
        <v>1103</v>
      </c>
      <c r="J15" s="35" t="s">
        <v>1103</v>
      </c>
      <c r="K15" s="35">
        <v>106403</v>
      </c>
      <c r="L15" s="35" t="str">
        <f t="shared" si="2"/>
        <v>krzyżakowy, wkręt - 106403</v>
      </c>
      <c r="M15" s="35" t="s">
        <v>2118</v>
      </c>
      <c r="N15" s="35" t="str">
        <f t="shared" si="3"/>
        <v>na wkręt (z mimośrodem) - N/A</v>
      </c>
      <c r="O15" s="35">
        <v>119240</v>
      </c>
      <c r="P15" s="35" t="str">
        <f t="shared" si="4"/>
        <v>krzyżakowy eurowkręt - 119240</v>
      </c>
      <c r="Q15" s="35">
        <v>136276</v>
      </c>
      <c r="R15" s="35" t="str">
        <f t="shared" si="5"/>
        <v>krzyżakowy expando - 136276</v>
      </c>
      <c r="S15" s="35">
        <v>300319</v>
      </c>
      <c r="T15" s="35" t="str">
        <f t="shared" si="6"/>
        <v>prosty wkręt - 300319</v>
      </c>
      <c r="U15" s="35" t="s">
        <v>2118</v>
      </c>
      <c r="V15" s="35" t="str">
        <f t="shared" si="7"/>
        <v>prosty eurowkręt - N/A</v>
      </c>
      <c r="W15" s="35" t="s">
        <v>2118</v>
      </c>
      <c r="X15" s="35" t="str">
        <f t="shared" si="8"/>
        <v>prosty expando - N/A</v>
      </c>
      <c r="Y15" s="34"/>
      <c r="Z15" s="34"/>
    </row>
    <row r="16" spans="1:31" ht="15">
      <c r="A16" s="37" t="s">
        <v>1101</v>
      </c>
      <c r="B16" s="37" t="s">
        <v>567</v>
      </c>
      <c r="C16" s="37" t="str">
        <f>'Translate&amp;Prices&amp;Logo'!B556</f>
        <v>Półnakładany</v>
      </c>
      <c r="D16" s="32" t="str">
        <f t="shared" si="0"/>
        <v>úzký_HETTICH_Polonaložený</v>
      </c>
      <c r="E16" s="37" t="str">
        <f>'Translate&amp;Prices&amp;Logo'!$B$585</f>
        <v>ze sprężyną bez tłumienia</v>
      </c>
      <c r="F16" s="34" t="str">
        <f>'Translate&amp;Prices&amp;Logo'!$B$587</f>
        <v>srebro</v>
      </c>
      <c r="G16" s="34" t="str">
        <f t="shared" si="1"/>
        <v>300283 - Półnakładany ze sprężyną bez tłumienia - srebro</v>
      </c>
      <c r="H16" s="35">
        <v>300283</v>
      </c>
      <c r="I16" s="35" t="s">
        <v>1103</v>
      </c>
      <c r="J16" s="35" t="s">
        <v>1103</v>
      </c>
      <c r="K16" s="35">
        <v>106403</v>
      </c>
      <c r="L16" s="35" t="str">
        <f t="shared" si="2"/>
        <v>krzyżakowy, wkręt - 106403</v>
      </c>
      <c r="M16" s="35" t="s">
        <v>2118</v>
      </c>
      <c r="N16" s="35" t="str">
        <f t="shared" si="3"/>
        <v>na wkręt (z mimośrodem) - N/A</v>
      </c>
      <c r="O16" s="35">
        <v>119240</v>
      </c>
      <c r="P16" s="35" t="str">
        <f t="shared" si="4"/>
        <v>krzyżakowy eurowkręt - 119240</v>
      </c>
      <c r="Q16" s="35">
        <v>136276</v>
      </c>
      <c r="R16" s="35" t="str">
        <f t="shared" si="5"/>
        <v>krzyżakowy expando - 136276</v>
      </c>
      <c r="S16" s="35">
        <v>300319</v>
      </c>
      <c r="T16" s="35" t="str">
        <f t="shared" si="6"/>
        <v>prosty wkręt - 300319</v>
      </c>
      <c r="U16" s="35" t="s">
        <v>2118</v>
      </c>
      <c r="V16" s="35" t="str">
        <f t="shared" si="7"/>
        <v>prosty eurowkręt - N/A</v>
      </c>
      <c r="W16" s="35" t="s">
        <v>2118</v>
      </c>
      <c r="X16" s="35" t="str">
        <f t="shared" si="8"/>
        <v>prosty expando - N/A</v>
      </c>
      <c r="Y16" s="34"/>
      <c r="Z16" s="34"/>
    </row>
    <row r="17" spans="1:26" ht="15">
      <c r="A17" s="37" t="s">
        <v>1101</v>
      </c>
      <c r="B17" s="37" t="s">
        <v>567</v>
      </c>
      <c r="C17" s="37" t="str">
        <f>'Translate&amp;Prices&amp;Logo'!B556</f>
        <v>Półnakładany</v>
      </c>
      <c r="D17" s="32" t="str">
        <f t="shared" si="0"/>
        <v>úzký_HETTICH_Polonaložený</v>
      </c>
      <c r="E17" s="37" t="str">
        <f>'Translate&amp;Prices&amp;Logo'!$B$586</f>
        <v>tip-on bez sprężyny/tłumienie</v>
      </c>
      <c r="F17" s="34" t="str">
        <f>'Translate&amp;Prices&amp;Logo'!$B$587</f>
        <v>srebro</v>
      </c>
      <c r="G17" s="34" t="str">
        <f t="shared" si="1"/>
        <v>300286 - Półnakładany tip-on bez sprężyny/tłumienie - srebro</v>
      </c>
      <c r="H17" s="35">
        <v>300286</v>
      </c>
      <c r="I17" s="35" t="s">
        <v>1103</v>
      </c>
      <c r="J17" s="35" t="s">
        <v>1103</v>
      </c>
      <c r="K17" s="35">
        <v>106403</v>
      </c>
      <c r="L17" s="35" t="str">
        <f t="shared" si="2"/>
        <v>krzyżakowy, wkręt - 106403</v>
      </c>
      <c r="M17" s="35" t="s">
        <v>2118</v>
      </c>
      <c r="N17" s="35" t="str">
        <f t="shared" si="3"/>
        <v>na wkręt (z mimośrodem) - N/A</v>
      </c>
      <c r="O17" s="35">
        <v>119240</v>
      </c>
      <c r="P17" s="35" t="str">
        <f t="shared" si="4"/>
        <v>krzyżakowy eurowkręt - 119240</v>
      </c>
      <c r="Q17" s="35">
        <v>136276</v>
      </c>
      <c r="R17" s="35" t="str">
        <f t="shared" si="5"/>
        <v>krzyżakowy expando - 136276</v>
      </c>
      <c r="S17" s="35">
        <v>300319</v>
      </c>
      <c r="T17" s="35" t="str">
        <f t="shared" si="6"/>
        <v>prosty wkręt - 300319</v>
      </c>
      <c r="U17" s="35" t="s">
        <v>2118</v>
      </c>
      <c r="V17" s="35" t="str">
        <f t="shared" si="7"/>
        <v>prosty eurowkręt - N/A</v>
      </c>
      <c r="W17" s="35" t="s">
        <v>2118</v>
      </c>
      <c r="X17" s="35" t="str">
        <f t="shared" si="8"/>
        <v>prosty expando - N/A</v>
      </c>
      <c r="Y17" s="34"/>
      <c r="Z17" s="34"/>
    </row>
    <row r="18" spans="1:26" ht="15">
      <c r="A18" s="34" t="s">
        <v>1101</v>
      </c>
      <c r="B18" s="34" t="s">
        <v>567</v>
      </c>
      <c r="C18" s="34" t="str">
        <f>'Translate&amp;Prices&amp;Logo'!B557</f>
        <v>Wpuszczany</v>
      </c>
      <c r="D18" s="32" t="str">
        <f t="shared" si="0"/>
        <v>úzký_HETTICH_Vložený</v>
      </c>
      <c r="E18" s="34" t="str">
        <f>'Translate&amp;Prices&amp;Logo'!$B$584</f>
        <v>ze sprężyną z tłumieniem</v>
      </c>
      <c r="F18" s="34" t="str">
        <f>'Translate&amp;Prices&amp;Logo'!$B$587</f>
        <v>srebro</v>
      </c>
      <c r="G18" s="34" t="str">
        <f t="shared" si="1"/>
        <v>300281 - Wpuszczany ze sprężyną z tłumieniem - srebro</v>
      </c>
      <c r="H18" s="35">
        <v>300281</v>
      </c>
      <c r="I18" s="35" t="s">
        <v>1103</v>
      </c>
      <c r="J18" s="35" t="s">
        <v>1103</v>
      </c>
      <c r="K18" s="35">
        <v>106403</v>
      </c>
      <c r="L18" s="35" t="str">
        <f t="shared" si="2"/>
        <v>krzyżakowy, wkręt - 106403</v>
      </c>
      <c r="M18" s="35" t="s">
        <v>2118</v>
      </c>
      <c r="N18" s="35" t="str">
        <f t="shared" si="3"/>
        <v>na wkręt (z mimośrodem) - N/A</v>
      </c>
      <c r="O18" s="35">
        <v>119240</v>
      </c>
      <c r="P18" s="35" t="str">
        <f t="shared" si="4"/>
        <v>krzyżakowy eurowkręt - 119240</v>
      </c>
      <c r="Q18" s="35">
        <v>136276</v>
      </c>
      <c r="R18" s="35" t="str">
        <f t="shared" si="5"/>
        <v>krzyżakowy expando - 136276</v>
      </c>
      <c r="S18" s="35">
        <v>300319</v>
      </c>
      <c r="T18" s="35" t="str">
        <f t="shared" si="6"/>
        <v>prosty wkręt - 300319</v>
      </c>
      <c r="U18" s="35" t="s">
        <v>2118</v>
      </c>
      <c r="V18" s="35" t="str">
        <f t="shared" si="7"/>
        <v>prosty eurowkręt - N/A</v>
      </c>
      <c r="W18" s="35" t="s">
        <v>2118</v>
      </c>
      <c r="X18" s="35" t="str">
        <f t="shared" si="8"/>
        <v>prosty expando - N/A</v>
      </c>
      <c r="Y18" s="34"/>
      <c r="Z18" s="34"/>
    </row>
    <row r="19" spans="1:26" ht="15">
      <c r="A19" s="34" t="s">
        <v>1101</v>
      </c>
      <c r="B19" s="34" t="s">
        <v>567</v>
      </c>
      <c r="C19" s="34" t="str">
        <f>'Translate&amp;Prices&amp;Logo'!B557</f>
        <v>Wpuszczany</v>
      </c>
      <c r="D19" s="32" t="str">
        <f t="shared" si="0"/>
        <v>úzký_HETTICH_Vložený</v>
      </c>
      <c r="E19" s="34" t="str">
        <f>'Translate&amp;Prices&amp;Logo'!$B$585</f>
        <v>ze sprężyną bez tłumienia</v>
      </c>
      <c r="F19" s="34" t="str">
        <f>'Translate&amp;Prices&amp;Logo'!$B$587</f>
        <v>srebro</v>
      </c>
      <c r="G19" s="34" t="str">
        <f t="shared" si="1"/>
        <v>300284 - Wpuszczany ze sprężyną bez tłumienia - srebro</v>
      </c>
      <c r="H19" s="35">
        <v>300284</v>
      </c>
      <c r="I19" s="35" t="s">
        <v>1103</v>
      </c>
      <c r="J19" s="35" t="s">
        <v>1103</v>
      </c>
      <c r="K19" s="35">
        <v>106403</v>
      </c>
      <c r="L19" s="35" t="str">
        <f t="shared" si="2"/>
        <v>krzyżakowy, wkręt - 106403</v>
      </c>
      <c r="M19" s="35" t="s">
        <v>2118</v>
      </c>
      <c r="N19" s="35" t="str">
        <f t="shared" si="3"/>
        <v>na wkręt (z mimośrodem) - N/A</v>
      </c>
      <c r="O19" s="35">
        <v>119240</v>
      </c>
      <c r="P19" s="35" t="str">
        <f t="shared" si="4"/>
        <v>krzyżakowy eurowkręt - 119240</v>
      </c>
      <c r="Q19" s="35">
        <v>136276</v>
      </c>
      <c r="R19" s="35" t="str">
        <f t="shared" si="5"/>
        <v>krzyżakowy expando - 136276</v>
      </c>
      <c r="S19" s="35">
        <v>300319</v>
      </c>
      <c r="T19" s="35" t="str">
        <f t="shared" si="6"/>
        <v>prosty wkręt - 300319</v>
      </c>
      <c r="U19" s="35" t="s">
        <v>2118</v>
      </c>
      <c r="V19" s="35" t="str">
        <f t="shared" si="7"/>
        <v>prosty eurowkręt - N/A</v>
      </c>
      <c r="W19" s="35" t="s">
        <v>2118</v>
      </c>
      <c r="X19" s="35" t="str">
        <f t="shared" si="8"/>
        <v>prosty expando - N/A</v>
      </c>
      <c r="Y19" s="34"/>
      <c r="Z19" s="34"/>
    </row>
    <row r="20" spans="1:26" ht="15">
      <c r="A20" s="34" t="s">
        <v>1101</v>
      </c>
      <c r="B20" s="34" t="s">
        <v>567</v>
      </c>
      <c r="C20" s="34" t="str">
        <f>'Translate&amp;Prices&amp;Logo'!B557</f>
        <v>Wpuszczany</v>
      </c>
      <c r="D20" s="32" t="str">
        <f t="shared" si="0"/>
        <v>úzký_HETTICH_Vložený</v>
      </c>
      <c r="E20" s="34" t="str">
        <f>'Translate&amp;Prices&amp;Logo'!$B$586</f>
        <v>tip-on bez sprężyny/tłumienie</v>
      </c>
      <c r="F20" s="34" t="str">
        <f>'Translate&amp;Prices&amp;Logo'!$B$587</f>
        <v>srebro</v>
      </c>
      <c r="G20" s="34" t="str">
        <f t="shared" si="1"/>
        <v>300287 - Wpuszczany tip-on bez sprężyny/tłumienie - srebro</v>
      </c>
      <c r="H20" s="35">
        <v>300287</v>
      </c>
      <c r="I20" s="35" t="s">
        <v>1103</v>
      </c>
      <c r="J20" s="35" t="s">
        <v>1103</v>
      </c>
      <c r="K20" s="35">
        <v>106403</v>
      </c>
      <c r="L20" s="35" t="str">
        <f t="shared" si="2"/>
        <v>krzyżakowy, wkręt - 106403</v>
      </c>
      <c r="M20" s="35" t="s">
        <v>2118</v>
      </c>
      <c r="N20" s="35" t="str">
        <f t="shared" si="3"/>
        <v>na wkręt (z mimośrodem) - N/A</v>
      </c>
      <c r="O20" s="35">
        <v>119240</v>
      </c>
      <c r="P20" s="35" t="str">
        <f t="shared" si="4"/>
        <v>krzyżakowy eurowkręt - 119240</v>
      </c>
      <c r="Q20" s="35">
        <v>136276</v>
      </c>
      <c r="R20" s="35" t="str">
        <f t="shared" si="5"/>
        <v>krzyżakowy expando - 136276</v>
      </c>
      <c r="S20" s="35">
        <v>300319</v>
      </c>
      <c r="T20" s="35" t="str">
        <f t="shared" si="6"/>
        <v>prosty wkręt - 300319</v>
      </c>
      <c r="U20" s="35" t="s">
        <v>2118</v>
      </c>
      <c r="V20" s="35" t="str">
        <f t="shared" si="7"/>
        <v>prosty eurowkręt - N/A</v>
      </c>
      <c r="W20" s="35" t="s">
        <v>2118</v>
      </c>
      <c r="X20" s="35" t="str">
        <f t="shared" si="8"/>
        <v>prosty expando - N/A</v>
      </c>
      <c r="Y20" s="34"/>
      <c r="Z20" s="34"/>
    </row>
    <row r="21" spans="1:26" ht="15">
      <c r="A21" s="37" t="s">
        <v>1101</v>
      </c>
      <c r="B21" s="37" t="s">
        <v>57</v>
      </c>
      <c r="C21" s="37" t="str">
        <f>'Translate&amp;Prices&amp;Logo'!B555</f>
        <v>Nakładany</v>
      </c>
      <c r="D21" s="32" t="str">
        <f t="shared" si="0"/>
        <v>úzký_STRONG_Naložený</v>
      </c>
      <c r="E21" s="37" t="str">
        <f>'Translate&amp;Prices&amp;Logo'!$B$584</f>
        <v>ze sprężyną z tłumieniem</v>
      </c>
      <c r="F21" s="34" t="str">
        <f>'Translate&amp;Prices&amp;Logo'!$B$587</f>
        <v>srebro</v>
      </c>
      <c r="G21" s="34" t="str">
        <f>CONCATENATE(I21," ","-"," ",C21," ",E21," - ",F21)</f>
        <v>92584T - Nakładany ze sprężyną z tłumieniem - srebro</v>
      </c>
      <c r="H21" s="35" t="s">
        <v>1103</v>
      </c>
      <c r="I21" s="35" t="s">
        <v>429</v>
      </c>
      <c r="J21" s="35" t="s">
        <v>1103</v>
      </c>
      <c r="K21" s="35" t="s">
        <v>58</v>
      </c>
      <c r="L21" s="35" t="str">
        <f t="shared" si="2"/>
        <v>krzyżakowy, wkręt - 92590T</v>
      </c>
      <c r="M21" s="35" t="s">
        <v>62</v>
      </c>
      <c r="N21" s="35" t="str">
        <f t="shared" si="3"/>
        <v>na wkręt (z mimośrodem) - 92594T</v>
      </c>
      <c r="O21" s="35" t="s">
        <v>63</v>
      </c>
      <c r="P21" s="35" t="str">
        <f t="shared" si="4"/>
        <v>krzyżakowy eurowkręt - 92591T</v>
      </c>
      <c r="Q21" s="35" t="s">
        <v>2118</v>
      </c>
      <c r="R21" s="35" t="str">
        <f t="shared" si="5"/>
        <v>krzyżakowy expando - N/A</v>
      </c>
      <c r="S21" s="35" t="s">
        <v>2118</v>
      </c>
      <c r="T21" s="35" t="str">
        <f t="shared" si="6"/>
        <v>prosty wkręt - N/A</v>
      </c>
      <c r="U21" s="35" t="s">
        <v>2118</v>
      </c>
      <c r="V21" s="35" t="str">
        <f t="shared" si="7"/>
        <v>prosty eurowkręt - N/A</v>
      </c>
      <c r="W21" s="35" t="s">
        <v>2118</v>
      </c>
      <c r="X21" s="35" t="str">
        <f t="shared" si="8"/>
        <v>prosty expando - N/A</v>
      </c>
      <c r="Y21" s="34"/>
      <c r="Z21" s="34"/>
    </row>
    <row r="22" spans="1:26" ht="15">
      <c r="A22" s="34" t="s">
        <v>1101</v>
      </c>
      <c r="B22" s="34" t="s">
        <v>2348</v>
      </c>
      <c r="C22" s="34" t="str">
        <f>'Translate&amp;Prices&amp;Logo'!B555</f>
        <v>Nakładany</v>
      </c>
      <c r="D22" s="32" t="e">
        <f t="shared" si="0"/>
        <v>#N/A</v>
      </c>
      <c r="E22" s="34" t="str">
        <f>'Translate&amp;Prices&amp;Logo'!$B$584</f>
        <v>ze sprężyną z tłumieniem</v>
      </c>
      <c r="F22" s="34" t="str">
        <f>'Translate&amp;Prices&amp;Logo'!$B$587</f>
        <v>srebro</v>
      </c>
      <c r="G22" s="34" t="str">
        <f t="shared" ref="G22:G66" si="10">CONCATENATE(I22," ","-"," ",C22," ",E22," - ",F22)</f>
        <v>350863 - Nakładany ze sprężyną z tłumieniem - srebro</v>
      </c>
      <c r="H22" s="35" t="s">
        <v>1103</v>
      </c>
      <c r="I22" s="35">
        <v>350863</v>
      </c>
      <c r="J22" s="35" t="s">
        <v>1103</v>
      </c>
      <c r="K22" s="35">
        <v>92596</v>
      </c>
      <c r="L22" s="35" t="str">
        <f t="shared" si="2"/>
        <v>krzyżakowy, wkręt - 92596</v>
      </c>
      <c r="M22" s="35">
        <v>315856</v>
      </c>
      <c r="N22" s="35" t="str">
        <f t="shared" si="3"/>
        <v>na wkręt (z mimośrodem) - 315856</v>
      </c>
      <c r="O22" s="35">
        <v>92597</v>
      </c>
      <c r="P22" s="35" t="str">
        <f t="shared" si="4"/>
        <v>krzyżakowy eurowkręt - 92597</v>
      </c>
      <c r="Q22" s="35" t="s">
        <v>2118</v>
      </c>
      <c r="R22" s="35" t="str">
        <f t="shared" si="5"/>
        <v>krzyżakowy expando - N/A</v>
      </c>
      <c r="S22" s="35" t="s">
        <v>2118</v>
      </c>
      <c r="T22" s="35" t="str">
        <f t="shared" si="6"/>
        <v>prosty wkręt - N/A</v>
      </c>
      <c r="U22" s="35" t="s">
        <v>2118</v>
      </c>
      <c r="V22" s="35" t="str">
        <f t="shared" si="7"/>
        <v>prosty eurowkręt - N/A</v>
      </c>
      <c r="W22" s="35" t="s">
        <v>2118</v>
      </c>
      <c r="X22" s="35" t="str">
        <f t="shared" si="8"/>
        <v>prosty expando - N/A</v>
      </c>
      <c r="Y22" s="34"/>
      <c r="Z22" s="34"/>
    </row>
    <row r="23" spans="1:26" ht="15">
      <c r="A23" s="34" t="s">
        <v>1101</v>
      </c>
      <c r="B23" s="34" t="s">
        <v>2348</v>
      </c>
      <c r="C23" s="34" t="str">
        <f>'Translate&amp;Prices&amp;Logo'!B555</f>
        <v>Nakładany</v>
      </c>
      <c r="D23" s="32" t="e">
        <f t="shared" si="0"/>
        <v>#N/A</v>
      </c>
      <c r="E23" s="34" t="str">
        <f>'Translate&amp;Prices&amp;Logo'!$B$586</f>
        <v>tip-on bez sprężyny/tłumienie</v>
      </c>
      <c r="F23" s="34" t="str">
        <f>'Translate&amp;Prices&amp;Logo'!$B$587</f>
        <v>srebro</v>
      </c>
      <c r="G23" s="34" t="str">
        <f t="shared" si="10"/>
        <v>350864 - Nakładany tip-on bez sprężyny/tłumienie - srebro</v>
      </c>
      <c r="H23" s="35" t="s">
        <v>1103</v>
      </c>
      <c r="I23" s="35">
        <v>350864</v>
      </c>
      <c r="J23" s="35" t="s">
        <v>1103</v>
      </c>
      <c r="K23" s="35">
        <v>92596</v>
      </c>
      <c r="L23" s="35" t="str">
        <f t="shared" si="2"/>
        <v>krzyżakowy, wkręt - 92596</v>
      </c>
      <c r="M23" s="35">
        <v>315856</v>
      </c>
      <c r="N23" s="35" t="str">
        <f t="shared" si="3"/>
        <v>na wkręt (z mimośrodem) - 315856</v>
      </c>
      <c r="O23" s="35">
        <v>92597</v>
      </c>
      <c r="P23" s="35" t="str">
        <f t="shared" si="4"/>
        <v>krzyżakowy eurowkręt - 92597</v>
      </c>
      <c r="Q23" s="35" t="s">
        <v>2118</v>
      </c>
      <c r="R23" s="35" t="str">
        <f t="shared" si="5"/>
        <v>krzyżakowy expando - N/A</v>
      </c>
      <c r="S23" s="35" t="s">
        <v>2118</v>
      </c>
      <c r="T23" s="35" t="str">
        <f t="shared" si="6"/>
        <v>prosty wkręt - N/A</v>
      </c>
      <c r="U23" s="35" t="s">
        <v>2118</v>
      </c>
      <c r="V23" s="35" t="str">
        <f t="shared" si="7"/>
        <v>prosty eurowkręt - N/A</v>
      </c>
      <c r="W23" s="35" t="s">
        <v>2118</v>
      </c>
      <c r="X23" s="35" t="str">
        <f t="shared" si="8"/>
        <v>prosty expando - N/A</v>
      </c>
      <c r="Y23" s="34"/>
      <c r="Z23" s="34"/>
    </row>
    <row r="24" spans="1:26" ht="15">
      <c r="A24" s="37" t="s">
        <v>1105</v>
      </c>
      <c r="B24" s="37" t="s">
        <v>2</v>
      </c>
      <c r="C24" s="37" t="str">
        <f>'Translate&amp;Prices&amp;Logo'!B555</f>
        <v>Nakładany</v>
      </c>
      <c r="D24" s="32" t="str">
        <f t="shared" si="0"/>
        <v>široký_BLUM_Naložený</v>
      </c>
      <c r="E24" s="37" t="str">
        <f>'Translate&amp;Prices&amp;Logo'!$B$584</f>
        <v>ze sprężyną z tłumieniem</v>
      </c>
      <c r="F24" s="34" t="str">
        <f>'Translate&amp;Prices&amp;Logo'!$B$587</f>
        <v>srebro</v>
      </c>
      <c r="G24" s="34" t="str">
        <f t="shared" si="10"/>
        <v>12047 - Nakładany ze sprężyną z tłumieniem - srebro</v>
      </c>
      <c r="H24" s="35" t="s">
        <v>1103</v>
      </c>
      <c r="I24" s="35">
        <v>12047</v>
      </c>
      <c r="J24" s="35" t="s">
        <v>1103</v>
      </c>
      <c r="K24" s="35">
        <v>12306</v>
      </c>
      <c r="L24" s="35" t="str">
        <f t="shared" si="2"/>
        <v>krzyżakowy, wkręt - 12306</v>
      </c>
      <c r="M24" s="35" t="s">
        <v>2118</v>
      </c>
      <c r="N24" s="35" t="str">
        <f t="shared" si="3"/>
        <v>na wkręt (z mimośrodem) - N/A</v>
      </c>
      <c r="O24" s="35">
        <v>12318</v>
      </c>
      <c r="P24" s="35" t="str">
        <f t="shared" si="4"/>
        <v>krzyżakowy eurowkręt - 12318</v>
      </c>
      <c r="Q24" s="35">
        <v>12302</v>
      </c>
      <c r="R24" s="35" t="str">
        <f t="shared" si="5"/>
        <v>krzyżakowy expando - 12302</v>
      </c>
      <c r="S24" s="35">
        <v>203387</v>
      </c>
      <c r="T24" s="35" t="str">
        <f t="shared" si="6"/>
        <v>prosty wkręt - 203387</v>
      </c>
      <c r="U24" s="35">
        <v>346624</v>
      </c>
      <c r="V24" s="35" t="str">
        <f t="shared" si="7"/>
        <v>prosty eurowkręt - 346624</v>
      </c>
      <c r="W24" s="35">
        <v>211476</v>
      </c>
      <c r="X24" s="35" t="str">
        <f t="shared" si="8"/>
        <v>prosty expando - 211476</v>
      </c>
      <c r="Y24" s="34"/>
      <c r="Z24" s="34"/>
    </row>
    <row r="25" spans="1:26" ht="16.350000000000001" customHeight="1">
      <c r="A25" s="37" t="s">
        <v>1105</v>
      </c>
      <c r="B25" s="37" t="s">
        <v>2</v>
      </c>
      <c r="C25" s="37" t="str">
        <f>'Translate&amp;Prices&amp;Logo'!B555</f>
        <v>Nakładany</v>
      </c>
      <c r="D25" s="32" t="str">
        <f t="shared" si="0"/>
        <v>široký_BLUM_Naložený</v>
      </c>
      <c r="E25" s="37" t="str">
        <f>'Translate&amp;Prices&amp;Logo'!$B$584</f>
        <v>ze sprężyną z tłumieniem</v>
      </c>
      <c r="F25" s="34" t="str">
        <f>'Translate&amp;Prices&amp;Logo'!$B$588</f>
        <v>czarny</v>
      </c>
      <c r="G25" s="34" t="str">
        <f t="shared" si="10"/>
        <v>306317 - Nakładany ze sprężyną z tłumieniem - czarny</v>
      </c>
      <c r="H25" s="35" t="s">
        <v>1103</v>
      </c>
      <c r="I25" s="35">
        <v>306317</v>
      </c>
      <c r="J25" s="35" t="s">
        <v>1103</v>
      </c>
      <c r="K25" s="35">
        <v>458360</v>
      </c>
      <c r="L25" s="35" t="str">
        <f t="shared" si="2"/>
        <v>krzyżakowy, wkręt - 458360</v>
      </c>
      <c r="M25" s="35" t="s">
        <v>2118</v>
      </c>
      <c r="N25" s="35" t="str">
        <f t="shared" si="3"/>
        <v>na wkręt (z mimośrodem) - N/A</v>
      </c>
      <c r="O25" s="35" t="s">
        <v>2118</v>
      </c>
      <c r="P25" s="35" t="str">
        <f t="shared" si="4"/>
        <v>krzyżakowy eurowkręt - N/A</v>
      </c>
      <c r="Q25" s="35">
        <v>347124</v>
      </c>
      <c r="R25" s="35" t="str">
        <f t="shared" si="5"/>
        <v>krzyżakowy expando - 347124</v>
      </c>
      <c r="S25" s="35">
        <v>306320</v>
      </c>
      <c r="T25" s="35" t="str">
        <f t="shared" si="6"/>
        <v>prosty wkręt - 306320</v>
      </c>
      <c r="U25" s="35" t="s">
        <v>2118</v>
      </c>
      <c r="V25" s="35" t="str">
        <f t="shared" si="7"/>
        <v>prosty eurowkręt - N/A</v>
      </c>
      <c r="W25" s="35">
        <v>409651</v>
      </c>
      <c r="X25" s="35" t="str">
        <f t="shared" si="8"/>
        <v>prosty expando - 409651</v>
      </c>
      <c r="Y25" s="34"/>
      <c r="Z25" s="34"/>
    </row>
    <row r="26" spans="1:26" ht="16.350000000000001" customHeight="1">
      <c r="A26" s="37" t="s">
        <v>1105</v>
      </c>
      <c r="B26" s="37" t="s">
        <v>2</v>
      </c>
      <c r="C26" s="37" t="str">
        <f>'Translate&amp;Prices&amp;Logo'!B555</f>
        <v>Nakładany</v>
      </c>
      <c r="D26" s="32" t="str">
        <f t="shared" si="0"/>
        <v>široký_BLUM_Naložený</v>
      </c>
      <c r="E26" s="37" t="str">
        <f>'Translate&amp;Prices&amp;Logo'!$B$585</f>
        <v>ze sprężyną bez tłumienia</v>
      </c>
      <c r="F26" s="34" t="str">
        <f>'Translate&amp;Prices&amp;Logo'!$B$587</f>
        <v>srebro</v>
      </c>
      <c r="G26" s="34" t="str">
        <f t="shared" si="10"/>
        <v>12052 - Nakładany ze sprężyną bez tłumienia - srebro</v>
      </c>
      <c r="H26" s="35" t="s">
        <v>1103</v>
      </c>
      <c r="I26" s="35">
        <v>12052</v>
      </c>
      <c r="J26" s="35" t="s">
        <v>1103</v>
      </c>
      <c r="K26" s="35">
        <v>12306</v>
      </c>
      <c r="L26" s="35" t="str">
        <f t="shared" si="2"/>
        <v>krzyżakowy, wkręt - 12306</v>
      </c>
      <c r="M26" s="35" t="s">
        <v>2118</v>
      </c>
      <c r="N26" s="35" t="str">
        <f t="shared" si="3"/>
        <v>na wkręt (z mimośrodem) - N/A</v>
      </c>
      <c r="O26" s="35">
        <v>12318</v>
      </c>
      <c r="P26" s="35" t="str">
        <f t="shared" si="4"/>
        <v>krzyżakowy eurowkręt - 12318</v>
      </c>
      <c r="Q26" s="35">
        <v>12302</v>
      </c>
      <c r="R26" s="35" t="str">
        <f t="shared" si="5"/>
        <v>krzyżakowy expando - 12302</v>
      </c>
      <c r="S26" s="35">
        <v>203387</v>
      </c>
      <c r="T26" s="35" t="str">
        <f t="shared" si="6"/>
        <v>prosty wkręt - 203387</v>
      </c>
      <c r="U26" s="35">
        <v>346624</v>
      </c>
      <c r="V26" s="35" t="str">
        <f t="shared" si="7"/>
        <v>prosty eurowkręt - 346624</v>
      </c>
      <c r="W26" s="35">
        <v>211476</v>
      </c>
      <c r="X26" s="35" t="str">
        <f t="shared" si="8"/>
        <v>prosty expando - 211476</v>
      </c>
      <c r="Y26" s="34"/>
      <c r="Z26" s="34"/>
    </row>
    <row r="27" spans="1:26" ht="16.350000000000001" customHeight="1">
      <c r="A27" s="37" t="s">
        <v>1105</v>
      </c>
      <c r="B27" s="37" t="s">
        <v>2</v>
      </c>
      <c r="C27" s="37" t="str">
        <f>'Translate&amp;Prices&amp;Logo'!B555</f>
        <v>Nakładany</v>
      </c>
      <c r="D27" s="32" t="str">
        <f t="shared" si="0"/>
        <v>široký_BLUM_Naložený</v>
      </c>
      <c r="E27" s="37" t="str">
        <f>'Translate&amp;Prices&amp;Logo'!$B$586</f>
        <v>tip-on bez sprężyny/tłumienie</v>
      </c>
      <c r="F27" s="34" t="str">
        <f>'Translate&amp;Prices&amp;Logo'!$B$587</f>
        <v>srebro</v>
      </c>
      <c r="G27" s="34" t="str">
        <f t="shared" si="10"/>
        <v>226668 - Nakładany tip-on bez sprężyny/tłumienie - srebro</v>
      </c>
      <c r="H27" s="35" t="s">
        <v>1103</v>
      </c>
      <c r="I27" s="35">
        <v>226668</v>
      </c>
      <c r="J27" s="35" t="s">
        <v>1103</v>
      </c>
      <c r="K27" s="35">
        <v>12306</v>
      </c>
      <c r="L27" s="35" t="str">
        <f t="shared" si="2"/>
        <v>krzyżakowy, wkręt - 12306</v>
      </c>
      <c r="M27" s="35" t="s">
        <v>2118</v>
      </c>
      <c r="N27" s="35" t="str">
        <f t="shared" si="3"/>
        <v>na wkręt (z mimośrodem) - N/A</v>
      </c>
      <c r="O27" s="35">
        <v>12318</v>
      </c>
      <c r="P27" s="35" t="str">
        <f t="shared" si="4"/>
        <v>krzyżakowy eurowkręt - 12318</v>
      </c>
      <c r="Q27" s="35">
        <v>12302</v>
      </c>
      <c r="R27" s="35" t="str">
        <f t="shared" si="5"/>
        <v>krzyżakowy expando - 12302</v>
      </c>
      <c r="S27" s="35">
        <v>203387</v>
      </c>
      <c r="T27" s="35" t="str">
        <f t="shared" si="6"/>
        <v>prosty wkręt - 203387</v>
      </c>
      <c r="U27" s="35">
        <v>346624</v>
      </c>
      <c r="V27" s="35" t="str">
        <f t="shared" si="7"/>
        <v>prosty eurowkręt - 346624</v>
      </c>
      <c r="W27" s="35">
        <v>211476</v>
      </c>
      <c r="X27" s="35" t="str">
        <f t="shared" si="8"/>
        <v>prosty expando - 211476</v>
      </c>
      <c r="Y27" s="34"/>
      <c r="Z27" s="34"/>
    </row>
    <row r="28" spans="1:26" ht="16.350000000000001" customHeight="1">
      <c r="A28" s="37" t="s">
        <v>1105</v>
      </c>
      <c r="B28" s="37" t="s">
        <v>2</v>
      </c>
      <c r="C28" s="37" t="str">
        <f>'Translate&amp;Prices&amp;Logo'!B555</f>
        <v>Nakładany</v>
      </c>
      <c r="D28" s="32" t="str">
        <f t="shared" si="0"/>
        <v>široký_BLUM_Naložený</v>
      </c>
      <c r="E28" s="37" t="str">
        <f>'Translate&amp;Prices&amp;Logo'!$B$586</f>
        <v>tip-on bez sprężyny/tłumienie</v>
      </c>
      <c r="F28" s="34" t="s">
        <v>2564</v>
      </c>
      <c r="G28" s="34" t="str">
        <f>CONCATENATE(H28," ","-"," ",C28," ",E28," - ",F28)</f>
        <v>318173 - Nakładany tip-on bez sprężyny/tłumienie - onyx</v>
      </c>
      <c r="H28" s="35">
        <v>318173</v>
      </c>
      <c r="Q28" s="35">
        <v>347124</v>
      </c>
      <c r="R28" s="35" t="str">
        <f t="shared" si="5"/>
        <v>krzyżakowy expando - 347124</v>
      </c>
      <c r="S28" s="35">
        <v>306320</v>
      </c>
      <c r="T28" s="35" t="str">
        <f t="shared" ref="T28" si="11">CONCATENATE($S$1," - ",S28)</f>
        <v>prosty wkręt - 306320</v>
      </c>
      <c r="X28" s="35"/>
      <c r="Y28" s="34"/>
      <c r="Z28" s="34"/>
    </row>
    <row r="29" spans="1:26" ht="16.350000000000001" customHeight="1">
      <c r="A29" s="34" t="s">
        <v>1105</v>
      </c>
      <c r="B29" s="34" t="s">
        <v>2</v>
      </c>
      <c r="C29" s="34" t="str">
        <f>'Translate&amp;Prices&amp;Logo'!B556</f>
        <v>Półnakładany</v>
      </c>
      <c r="D29" s="32" t="str">
        <f t="shared" si="0"/>
        <v>široký_BLUM_Polonaložený</v>
      </c>
      <c r="E29" s="34" t="str">
        <f>'Translate&amp;Prices&amp;Logo'!$B$584</f>
        <v>ze sprężyną z tłumieniem</v>
      </c>
      <c r="F29" s="34" t="str">
        <f>'Translate&amp;Prices&amp;Logo'!$B$587</f>
        <v>srebro</v>
      </c>
      <c r="G29" s="34" t="str">
        <f t="shared" si="10"/>
        <v>12048 - Półnakładany ze sprężyną z tłumieniem - srebro</v>
      </c>
      <c r="H29" s="35" t="s">
        <v>1103</v>
      </c>
      <c r="I29" s="35">
        <v>12048</v>
      </c>
      <c r="J29" s="35" t="s">
        <v>1103</v>
      </c>
      <c r="K29" s="35">
        <v>12306</v>
      </c>
      <c r="L29" s="35" t="str">
        <f t="shared" si="2"/>
        <v>krzyżakowy, wkręt - 12306</v>
      </c>
      <c r="M29" s="35" t="s">
        <v>2118</v>
      </c>
      <c r="N29" s="35" t="str">
        <f t="shared" si="3"/>
        <v>na wkręt (z mimośrodem) - N/A</v>
      </c>
      <c r="O29" s="35">
        <v>12318</v>
      </c>
      <c r="P29" s="35" t="str">
        <f t="shared" si="4"/>
        <v>krzyżakowy eurowkręt - 12318</v>
      </c>
      <c r="Q29" s="35">
        <v>12302</v>
      </c>
      <c r="R29" s="35" t="str">
        <f t="shared" si="5"/>
        <v>krzyżakowy expando - 12302</v>
      </c>
      <c r="S29" s="35">
        <v>203387</v>
      </c>
      <c r="T29" s="35" t="str">
        <f t="shared" si="6"/>
        <v>prosty wkręt - 203387</v>
      </c>
      <c r="U29" s="35">
        <v>346624</v>
      </c>
      <c r="V29" s="35" t="str">
        <f t="shared" si="7"/>
        <v>prosty eurowkręt - 346624</v>
      </c>
      <c r="W29" s="35">
        <v>211476</v>
      </c>
      <c r="X29" s="35" t="str">
        <f t="shared" si="8"/>
        <v>prosty expando - 211476</v>
      </c>
      <c r="Y29" s="34"/>
      <c r="Z29" s="34"/>
    </row>
    <row r="30" spans="1:26" ht="16.350000000000001" customHeight="1">
      <c r="A30" s="34" t="s">
        <v>1105</v>
      </c>
      <c r="B30" s="34" t="s">
        <v>2</v>
      </c>
      <c r="C30" s="34" t="str">
        <f>'Translate&amp;Prices&amp;Logo'!B556</f>
        <v>Półnakładany</v>
      </c>
      <c r="D30" s="32" t="str">
        <f t="shared" si="0"/>
        <v>široký_BLUM_Polonaložený</v>
      </c>
      <c r="E30" s="34" t="str">
        <f>'Translate&amp;Prices&amp;Logo'!$B$584</f>
        <v>ze sprężyną z tłumieniem</v>
      </c>
      <c r="F30" s="34" t="str">
        <f>'Translate&amp;Prices&amp;Logo'!$B$588</f>
        <v>czarny</v>
      </c>
      <c r="G30" s="34" t="str">
        <f t="shared" si="10"/>
        <v>306318 - Półnakładany ze sprężyną z tłumieniem - czarny</v>
      </c>
      <c r="H30" s="35" t="s">
        <v>1103</v>
      </c>
      <c r="I30" s="35">
        <v>306318</v>
      </c>
      <c r="J30" s="35" t="s">
        <v>1103</v>
      </c>
      <c r="K30" s="35">
        <v>458360</v>
      </c>
      <c r="L30" s="35" t="str">
        <f t="shared" si="2"/>
        <v>krzyżakowy, wkręt - 458360</v>
      </c>
      <c r="M30" s="35" t="s">
        <v>2118</v>
      </c>
      <c r="N30" s="35" t="str">
        <f t="shared" si="3"/>
        <v>na wkręt (z mimośrodem) - N/A</v>
      </c>
      <c r="O30" s="35" t="s">
        <v>2118</v>
      </c>
      <c r="P30" s="35" t="str">
        <f t="shared" si="4"/>
        <v>krzyżakowy eurowkręt - N/A</v>
      </c>
      <c r="Q30" s="35">
        <v>347124</v>
      </c>
      <c r="R30" s="35" t="str">
        <f t="shared" si="5"/>
        <v>krzyżakowy expando - 347124</v>
      </c>
      <c r="S30" s="35">
        <v>306320</v>
      </c>
      <c r="T30" s="35" t="str">
        <f t="shared" si="6"/>
        <v>prosty wkręt - 306320</v>
      </c>
      <c r="U30" s="35" t="s">
        <v>2118</v>
      </c>
      <c r="V30" s="35" t="str">
        <f t="shared" si="7"/>
        <v>prosty eurowkręt - N/A</v>
      </c>
      <c r="W30" s="35">
        <v>409651</v>
      </c>
      <c r="X30" s="35" t="str">
        <f t="shared" si="8"/>
        <v>prosty expando - 409651</v>
      </c>
      <c r="Y30" s="34"/>
      <c r="Z30" s="34"/>
    </row>
    <row r="31" spans="1:26" ht="16.350000000000001" customHeight="1">
      <c r="A31" s="34" t="s">
        <v>1105</v>
      </c>
      <c r="B31" s="34" t="s">
        <v>2</v>
      </c>
      <c r="C31" s="34" t="str">
        <f>'Translate&amp;Prices&amp;Logo'!B556</f>
        <v>Półnakładany</v>
      </c>
      <c r="D31" s="32" t="str">
        <f t="shared" si="0"/>
        <v>široký_BLUM_Polonaložený</v>
      </c>
      <c r="E31" s="34" t="str">
        <f>'Translate&amp;Prices&amp;Logo'!$B$585</f>
        <v>ze sprężyną bez tłumienia</v>
      </c>
      <c r="F31" s="34" t="str">
        <f>'Translate&amp;Prices&amp;Logo'!$B$587</f>
        <v>srebro</v>
      </c>
      <c r="G31" s="34" t="str">
        <f t="shared" si="10"/>
        <v>12053 - Półnakładany ze sprężyną bez tłumienia - srebro</v>
      </c>
      <c r="H31" s="35" t="s">
        <v>1103</v>
      </c>
      <c r="I31" s="35">
        <v>12053</v>
      </c>
      <c r="J31" s="35" t="s">
        <v>1103</v>
      </c>
      <c r="K31" s="35">
        <v>12306</v>
      </c>
      <c r="L31" s="35" t="str">
        <f t="shared" si="2"/>
        <v>krzyżakowy, wkręt - 12306</v>
      </c>
      <c r="M31" s="35" t="s">
        <v>2118</v>
      </c>
      <c r="N31" s="35" t="str">
        <f t="shared" si="3"/>
        <v>na wkręt (z mimośrodem) - N/A</v>
      </c>
      <c r="O31" s="35">
        <v>12318</v>
      </c>
      <c r="P31" s="35" t="str">
        <f t="shared" si="4"/>
        <v>krzyżakowy eurowkręt - 12318</v>
      </c>
      <c r="Q31" s="35">
        <v>12302</v>
      </c>
      <c r="R31" s="35" t="str">
        <f t="shared" si="5"/>
        <v>krzyżakowy expando - 12302</v>
      </c>
      <c r="S31" s="35">
        <v>203387</v>
      </c>
      <c r="T31" s="35" t="str">
        <f t="shared" si="6"/>
        <v>prosty wkręt - 203387</v>
      </c>
      <c r="U31" s="35">
        <v>346624</v>
      </c>
      <c r="V31" s="35" t="str">
        <f t="shared" si="7"/>
        <v>prosty eurowkręt - 346624</v>
      </c>
      <c r="W31" s="35">
        <v>211476</v>
      </c>
      <c r="X31" s="35" t="str">
        <f t="shared" si="8"/>
        <v>prosty expando - 211476</v>
      </c>
      <c r="Y31" s="34"/>
      <c r="Z31" s="34"/>
    </row>
    <row r="32" spans="1:26" ht="16.350000000000001" customHeight="1">
      <c r="A32" s="34" t="s">
        <v>1105</v>
      </c>
      <c r="B32" s="34" t="s">
        <v>2</v>
      </c>
      <c r="C32" s="34" t="str">
        <f>'Translate&amp;Prices&amp;Logo'!B556</f>
        <v>Półnakładany</v>
      </c>
      <c r="D32" s="32" t="str">
        <f t="shared" si="0"/>
        <v>široký_BLUM_Polonaložený</v>
      </c>
      <c r="E32" s="34" t="str">
        <f>'Translate&amp;Prices&amp;Logo'!$B$586</f>
        <v>tip-on bez sprężyny/tłumienie</v>
      </c>
      <c r="F32" s="34" t="str">
        <f>'Translate&amp;Prices&amp;Logo'!$B$587</f>
        <v>srebro</v>
      </c>
      <c r="G32" s="34" t="str">
        <f t="shared" si="10"/>
        <v>226670 - Półnakładany tip-on bez sprężyny/tłumienie - srebro</v>
      </c>
      <c r="H32" s="35" t="s">
        <v>1103</v>
      </c>
      <c r="I32" s="35">
        <v>226670</v>
      </c>
      <c r="J32" s="35" t="s">
        <v>1103</v>
      </c>
      <c r="K32" s="35">
        <v>12306</v>
      </c>
      <c r="L32" s="35" t="str">
        <f t="shared" si="2"/>
        <v>krzyżakowy, wkręt - 12306</v>
      </c>
      <c r="M32" s="35" t="s">
        <v>2118</v>
      </c>
      <c r="N32" s="35" t="str">
        <f t="shared" si="3"/>
        <v>na wkręt (z mimośrodem) - N/A</v>
      </c>
      <c r="O32" s="35">
        <v>12318</v>
      </c>
      <c r="P32" s="35" t="str">
        <f t="shared" si="4"/>
        <v>krzyżakowy eurowkręt - 12318</v>
      </c>
      <c r="Q32" s="35">
        <v>12302</v>
      </c>
      <c r="R32" s="35" t="str">
        <f t="shared" si="5"/>
        <v>krzyżakowy expando - 12302</v>
      </c>
      <c r="S32" s="35">
        <v>203387</v>
      </c>
      <c r="T32" s="35" t="str">
        <f t="shared" si="6"/>
        <v>prosty wkręt - 203387</v>
      </c>
      <c r="U32" s="35">
        <v>346624</v>
      </c>
      <c r="V32" s="35" t="str">
        <f t="shared" si="7"/>
        <v>prosty eurowkręt - 346624</v>
      </c>
      <c r="W32" s="35">
        <v>211476</v>
      </c>
      <c r="X32" s="35" t="str">
        <f t="shared" si="8"/>
        <v>prosty expando - 211476</v>
      </c>
      <c r="Y32" s="34"/>
      <c r="Z32" s="34"/>
    </row>
    <row r="33" spans="1:26" ht="16.350000000000001" customHeight="1">
      <c r="A33" s="37" t="s">
        <v>1105</v>
      </c>
      <c r="B33" s="37" t="s">
        <v>2</v>
      </c>
      <c r="C33" s="37" t="str">
        <f>'Translate&amp;Prices&amp;Logo'!B557</f>
        <v>Wpuszczany</v>
      </c>
      <c r="D33" s="32" t="str">
        <f t="shared" si="0"/>
        <v>široký_BLUM_Vložený</v>
      </c>
      <c r="E33" s="37" t="str">
        <f>'Translate&amp;Prices&amp;Logo'!$B$584</f>
        <v>ze sprężyną z tłumieniem</v>
      </c>
      <c r="F33" s="34" t="str">
        <f>'Translate&amp;Prices&amp;Logo'!$B$587</f>
        <v>srebro</v>
      </c>
      <c r="G33" s="34" t="str">
        <f t="shared" si="10"/>
        <v>12049 - Wpuszczany ze sprężyną z tłumieniem - srebro</v>
      </c>
      <c r="H33" s="35" t="s">
        <v>1103</v>
      </c>
      <c r="I33" s="35">
        <v>12049</v>
      </c>
      <c r="J33" s="35" t="s">
        <v>1103</v>
      </c>
      <c r="K33" s="35">
        <v>12306</v>
      </c>
      <c r="L33" s="35" t="str">
        <f t="shared" si="2"/>
        <v>krzyżakowy, wkręt - 12306</v>
      </c>
      <c r="M33" s="35" t="s">
        <v>2118</v>
      </c>
      <c r="N33" s="35" t="str">
        <f t="shared" si="3"/>
        <v>na wkręt (z mimośrodem) - N/A</v>
      </c>
      <c r="O33" s="35">
        <v>12318</v>
      </c>
      <c r="P33" s="35" t="str">
        <f t="shared" si="4"/>
        <v>krzyżakowy eurowkręt - 12318</v>
      </c>
      <c r="Q33" s="35">
        <v>12302</v>
      </c>
      <c r="R33" s="35" t="str">
        <f t="shared" si="5"/>
        <v>krzyżakowy expando - 12302</v>
      </c>
      <c r="S33" s="35">
        <v>203387</v>
      </c>
      <c r="T33" s="35" t="str">
        <f t="shared" si="6"/>
        <v>prosty wkręt - 203387</v>
      </c>
      <c r="U33" s="35">
        <v>346624</v>
      </c>
      <c r="V33" s="35" t="str">
        <f t="shared" si="7"/>
        <v>prosty eurowkręt - 346624</v>
      </c>
      <c r="W33" s="35">
        <v>211476</v>
      </c>
      <c r="X33" s="35" t="str">
        <f t="shared" si="8"/>
        <v>prosty expando - 211476</v>
      </c>
      <c r="Y33" s="34"/>
      <c r="Z33" s="34"/>
    </row>
    <row r="34" spans="1:26" ht="16.350000000000001" customHeight="1">
      <c r="A34" s="37" t="s">
        <v>1105</v>
      </c>
      <c r="B34" s="37" t="s">
        <v>2</v>
      </c>
      <c r="C34" s="37" t="str">
        <f>'Translate&amp;Prices&amp;Logo'!B557</f>
        <v>Wpuszczany</v>
      </c>
      <c r="D34" s="32" t="str">
        <f t="shared" si="0"/>
        <v>široký_BLUM_Vložený</v>
      </c>
      <c r="E34" s="37" t="str">
        <f>'Translate&amp;Prices&amp;Logo'!$B$584</f>
        <v>ze sprężyną z tłumieniem</v>
      </c>
      <c r="F34" s="34" t="str">
        <f>'Translate&amp;Prices&amp;Logo'!$B$588</f>
        <v>czarny</v>
      </c>
      <c r="G34" s="34" t="str">
        <f t="shared" si="10"/>
        <v>306319 - Wpuszczany ze sprężyną z tłumieniem - czarny</v>
      </c>
      <c r="H34" s="35" t="s">
        <v>1103</v>
      </c>
      <c r="I34" s="35">
        <v>306319</v>
      </c>
      <c r="J34" s="35" t="s">
        <v>1103</v>
      </c>
      <c r="K34" s="35">
        <v>458360</v>
      </c>
      <c r="L34" s="35" t="str">
        <f t="shared" si="2"/>
        <v>krzyżakowy, wkręt - 458360</v>
      </c>
      <c r="M34" s="35" t="s">
        <v>2118</v>
      </c>
      <c r="N34" s="35" t="str">
        <f t="shared" si="3"/>
        <v>na wkręt (z mimośrodem) - N/A</v>
      </c>
      <c r="O34" s="35" t="s">
        <v>2118</v>
      </c>
      <c r="P34" s="35" t="str">
        <f t="shared" si="4"/>
        <v>krzyżakowy eurowkręt - N/A</v>
      </c>
      <c r="Q34" s="35">
        <v>347124</v>
      </c>
      <c r="R34" s="35" t="str">
        <f t="shared" si="5"/>
        <v>krzyżakowy expando - 347124</v>
      </c>
      <c r="S34" s="35">
        <v>306320</v>
      </c>
      <c r="T34" s="35" t="str">
        <f t="shared" si="6"/>
        <v>prosty wkręt - 306320</v>
      </c>
      <c r="U34" s="35" t="s">
        <v>2118</v>
      </c>
      <c r="V34" s="35" t="str">
        <f t="shared" si="7"/>
        <v>prosty eurowkręt - N/A</v>
      </c>
      <c r="W34" s="35">
        <v>409651</v>
      </c>
      <c r="X34" s="35" t="str">
        <f t="shared" si="8"/>
        <v>prosty expando - 409651</v>
      </c>
      <c r="Y34" s="34"/>
      <c r="Z34" s="34"/>
    </row>
    <row r="35" spans="1:26" ht="16.350000000000001" customHeight="1">
      <c r="A35" s="37" t="s">
        <v>1105</v>
      </c>
      <c r="B35" s="37" t="s">
        <v>2</v>
      </c>
      <c r="C35" s="37" t="str">
        <f>'Translate&amp;Prices&amp;Logo'!B557</f>
        <v>Wpuszczany</v>
      </c>
      <c r="D35" s="32" t="str">
        <f t="shared" si="0"/>
        <v>široký_BLUM_Vložený</v>
      </c>
      <c r="E35" s="37" t="str">
        <f>'Translate&amp;Prices&amp;Logo'!$B$585</f>
        <v>ze sprężyną bez tłumienia</v>
      </c>
      <c r="F35" s="34" t="str">
        <f>'Translate&amp;Prices&amp;Logo'!$B$587</f>
        <v>srebro</v>
      </c>
      <c r="G35" s="34" t="str">
        <f t="shared" si="10"/>
        <v>12059 - Wpuszczany ze sprężyną bez tłumienia - srebro</v>
      </c>
      <c r="H35" s="35" t="s">
        <v>1103</v>
      </c>
      <c r="I35" s="35">
        <v>12059</v>
      </c>
      <c r="J35" s="35" t="s">
        <v>1103</v>
      </c>
      <c r="K35" s="35">
        <v>12306</v>
      </c>
      <c r="L35" s="35" t="str">
        <f t="shared" si="2"/>
        <v>krzyżakowy, wkręt - 12306</v>
      </c>
      <c r="M35" s="35" t="s">
        <v>2118</v>
      </c>
      <c r="N35" s="35" t="str">
        <f t="shared" si="3"/>
        <v>na wkręt (z mimośrodem) - N/A</v>
      </c>
      <c r="O35" s="35">
        <v>12318</v>
      </c>
      <c r="P35" s="35" t="str">
        <f t="shared" si="4"/>
        <v>krzyżakowy eurowkręt - 12318</v>
      </c>
      <c r="Q35" s="35">
        <v>12302</v>
      </c>
      <c r="R35" s="35" t="str">
        <f t="shared" si="5"/>
        <v>krzyżakowy expando - 12302</v>
      </c>
      <c r="S35" s="35">
        <v>203387</v>
      </c>
      <c r="T35" s="35" t="str">
        <f t="shared" si="6"/>
        <v>prosty wkręt - 203387</v>
      </c>
      <c r="U35" s="35">
        <v>346624</v>
      </c>
      <c r="V35" s="35" t="str">
        <f t="shared" si="7"/>
        <v>prosty eurowkręt - 346624</v>
      </c>
      <c r="W35" s="35">
        <v>211476</v>
      </c>
      <c r="X35" s="35" t="str">
        <f t="shared" si="8"/>
        <v>prosty expando - 211476</v>
      </c>
      <c r="Y35" s="34"/>
      <c r="Z35" s="34"/>
    </row>
    <row r="36" spans="1:26" ht="15">
      <c r="A36" s="37" t="s">
        <v>1105</v>
      </c>
      <c r="B36" s="37" t="s">
        <v>2</v>
      </c>
      <c r="C36" s="37" t="str">
        <f>'Translate&amp;Prices&amp;Logo'!B557</f>
        <v>Wpuszczany</v>
      </c>
      <c r="D36" s="32" t="str">
        <f t="shared" si="0"/>
        <v>široký_BLUM_Vložený</v>
      </c>
      <c r="E36" s="37" t="str">
        <f>'Translate&amp;Prices&amp;Logo'!$B$586</f>
        <v>tip-on bez sprężyny/tłumienie</v>
      </c>
      <c r="F36" s="34" t="str">
        <f>'Translate&amp;Prices&amp;Logo'!$B$587</f>
        <v>srebro</v>
      </c>
      <c r="G36" s="34" t="str">
        <f t="shared" si="10"/>
        <v>226671 - Wpuszczany tip-on bez sprężyny/tłumienie - srebro</v>
      </c>
      <c r="H36" s="35" t="s">
        <v>1103</v>
      </c>
      <c r="I36" s="35">
        <v>226671</v>
      </c>
      <c r="J36" s="35" t="s">
        <v>1103</v>
      </c>
      <c r="K36" s="35">
        <v>12306</v>
      </c>
      <c r="L36" s="35" t="str">
        <f t="shared" si="2"/>
        <v>krzyżakowy, wkręt - 12306</v>
      </c>
      <c r="M36" s="35" t="s">
        <v>2118</v>
      </c>
      <c r="N36" s="35" t="str">
        <f t="shared" si="3"/>
        <v>na wkręt (z mimośrodem) - N/A</v>
      </c>
      <c r="O36" s="35">
        <v>12318</v>
      </c>
      <c r="P36" s="35" t="str">
        <f t="shared" si="4"/>
        <v>krzyżakowy eurowkręt - 12318</v>
      </c>
      <c r="Q36" s="35">
        <v>12302</v>
      </c>
      <c r="R36" s="35" t="str">
        <f t="shared" si="5"/>
        <v>krzyżakowy expando - 12302</v>
      </c>
      <c r="S36" s="35">
        <v>203387</v>
      </c>
      <c r="T36" s="35" t="str">
        <f t="shared" si="6"/>
        <v>prosty wkręt - 203387</v>
      </c>
      <c r="U36" s="35">
        <v>346624</v>
      </c>
      <c r="V36" s="35" t="str">
        <f t="shared" si="7"/>
        <v>prosty eurowkręt - 346624</v>
      </c>
      <c r="W36" s="35">
        <v>211476</v>
      </c>
      <c r="X36" s="35" t="str">
        <f t="shared" si="8"/>
        <v>prosty expando - 211476</v>
      </c>
      <c r="Y36" s="34"/>
      <c r="Z36" s="34"/>
    </row>
    <row r="37" spans="1:26" ht="15">
      <c r="A37" s="34" t="s">
        <v>1105</v>
      </c>
      <c r="B37" s="34" t="s">
        <v>567</v>
      </c>
      <c r="C37" s="34" t="str">
        <f>'Translate&amp;Prices&amp;Logo'!B555</f>
        <v>Nakładany</v>
      </c>
      <c r="D37" s="32" t="str">
        <f t="shared" si="0"/>
        <v>široký_HETTICH_Naložený</v>
      </c>
      <c r="E37" s="34" t="str">
        <f>'Translate&amp;Prices&amp;Logo'!$B$584</f>
        <v>ze sprężyną z tłumieniem</v>
      </c>
      <c r="F37" s="34" t="str">
        <f>'Translate&amp;Prices&amp;Logo'!$B$587</f>
        <v>srebro</v>
      </c>
      <c r="G37" s="34" t="str">
        <f t="shared" si="10"/>
        <v>104717 - Nakładany ze sprężyną z tłumieniem - srebro</v>
      </c>
      <c r="H37" s="35" t="s">
        <v>1103</v>
      </c>
      <c r="I37" s="35">
        <v>104717</v>
      </c>
      <c r="J37" s="35" t="s">
        <v>1103</v>
      </c>
      <c r="K37" s="35">
        <v>106403</v>
      </c>
      <c r="L37" s="35" t="str">
        <f t="shared" si="2"/>
        <v>krzyżakowy, wkręt - 106403</v>
      </c>
      <c r="M37" s="35" t="s">
        <v>2118</v>
      </c>
      <c r="N37" s="35" t="str">
        <f t="shared" si="3"/>
        <v>na wkręt (z mimośrodem) - N/A</v>
      </c>
      <c r="O37" s="35">
        <v>119240</v>
      </c>
      <c r="P37" s="35" t="str">
        <f t="shared" si="4"/>
        <v>krzyżakowy eurowkręt - 119240</v>
      </c>
      <c r="Q37" s="35">
        <v>136276</v>
      </c>
      <c r="R37" s="35" t="str">
        <f t="shared" si="5"/>
        <v>krzyżakowy expando - 136276</v>
      </c>
      <c r="S37" s="35">
        <v>300319</v>
      </c>
      <c r="T37" s="35" t="str">
        <f t="shared" si="6"/>
        <v>prosty wkręt - 300319</v>
      </c>
      <c r="U37" s="35" t="s">
        <v>2118</v>
      </c>
      <c r="V37" s="35" t="str">
        <f t="shared" si="7"/>
        <v>prosty eurowkręt - N/A</v>
      </c>
      <c r="W37" s="35" t="s">
        <v>2118</v>
      </c>
      <c r="X37" s="35" t="str">
        <f t="shared" si="8"/>
        <v>prosty expando - N/A</v>
      </c>
      <c r="Y37" s="34"/>
      <c r="Z37" s="34"/>
    </row>
    <row r="38" spans="1:26" ht="15">
      <c r="A38" s="34" t="s">
        <v>1105</v>
      </c>
      <c r="B38" s="34" t="s">
        <v>567</v>
      </c>
      <c r="C38" s="34" t="str">
        <f>'Translate&amp;Prices&amp;Logo'!B555</f>
        <v>Nakładany</v>
      </c>
      <c r="D38" s="32" t="str">
        <f t="shared" si="0"/>
        <v>široký_HETTICH_Naložený</v>
      </c>
      <c r="E38" s="34" t="str">
        <f>'Translate&amp;Prices&amp;Logo'!$B$584</f>
        <v>ze sprężyną z tłumieniem</v>
      </c>
      <c r="F38" s="34" t="str">
        <f>'Translate&amp;Prices&amp;Logo'!$B$588</f>
        <v>czarny</v>
      </c>
      <c r="G38" s="34" t="str">
        <f t="shared" si="10"/>
        <v>344691 - Nakładany ze sprężyną z tłumieniem - czarny</v>
      </c>
      <c r="H38" s="35" t="s">
        <v>1103</v>
      </c>
      <c r="I38" s="35">
        <v>344691</v>
      </c>
      <c r="J38" s="35" t="s">
        <v>1103</v>
      </c>
      <c r="K38" s="35" t="s">
        <v>2118</v>
      </c>
      <c r="L38" s="35" t="str">
        <f t="shared" si="2"/>
        <v>krzyżakowy, wkręt - N/A</v>
      </c>
      <c r="M38" s="35" t="s">
        <v>2118</v>
      </c>
      <c r="N38" s="35" t="str">
        <f t="shared" si="3"/>
        <v>na wkręt (z mimośrodem) - N/A</v>
      </c>
      <c r="O38" s="35">
        <v>344727</v>
      </c>
      <c r="P38" s="35" t="str">
        <f t="shared" si="4"/>
        <v>krzyżakowy eurowkręt - 344727</v>
      </c>
      <c r="Q38" s="35">
        <v>344727</v>
      </c>
      <c r="R38" s="35" t="str">
        <f t="shared" si="5"/>
        <v>krzyżakowy expando - 344727</v>
      </c>
      <c r="S38" s="35">
        <v>397949</v>
      </c>
      <c r="T38" s="35" t="str">
        <f t="shared" si="6"/>
        <v>prosty wkręt - 397949</v>
      </c>
      <c r="U38" s="35" t="s">
        <v>2118</v>
      </c>
      <c r="V38" s="35" t="str">
        <f t="shared" si="7"/>
        <v>prosty eurowkręt - N/A</v>
      </c>
      <c r="W38" s="35" t="s">
        <v>2118</v>
      </c>
      <c r="X38" s="35" t="str">
        <f t="shared" si="8"/>
        <v>prosty expando - N/A</v>
      </c>
      <c r="Y38" s="34"/>
      <c r="Z38" s="34"/>
    </row>
    <row r="39" spans="1:26" ht="15">
      <c r="A39" s="34" t="s">
        <v>1105</v>
      </c>
      <c r="B39" s="34" t="s">
        <v>567</v>
      </c>
      <c r="C39" s="34" t="str">
        <f>'Translate&amp;Prices&amp;Logo'!B555</f>
        <v>Nakładany</v>
      </c>
      <c r="D39" s="32" t="str">
        <f t="shared" si="0"/>
        <v>široký_HETTICH_Naložený</v>
      </c>
      <c r="E39" s="34" t="str">
        <f>'Translate&amp;Prices&amp;Logo'!$B$585</f>
        <v>ze sprężyną bez tłumienia</v>
      </c>
      <c r="F39" s="34" t="str">
        <f>'Translate&amp;Prices&amp;Logo'!$B$587</f>
        <v>srebro</v>
      </c>
      <c r="G39" s="34" t="str">
        <f t="shared" si="10"/>
        <v>232346 - Nakładany ze sprężyną bez tłumienia - srebro</v>
      </c>
      <c r="H39" s="35" t="s">
        <v>1103</v>
      </c>
      <c r="I39" s="35">
        <v>232346</v>
      </c>
      <c r="J39" s="35" t="s">
        <v>1103</v>
      </c>
      <c r="K39" s="35">
        <v>106403</v>
      </c>
      <c r="L39" s="35" t="str">
        <f t="shared" si="2"/>
        <v>krzyżakowy, wkręt - 106403</v>
      </c>
      <c r="M39" s="35" t="s">
        <v>2118</v>
      </c>
      <c r="N39" s="35" t="str">
        <f t="shared" si="3"/>
        <v>na wkręt (z mimośrodem) - N/A</v>
      </c>
      <c r="O39" s="35">
        <v>119240</v>
      </c>
      <c r="P39" s="35" t="str">
        <f t="shared" si="4"/>
        <v>krzyżakowy eurowkręt - 119240</v>
      </c>
      <c r="Q39" s="35">
        <v>136276</v>
      </c>
      <c r="R39" s="35" t="str">
        <f t="shared" si="5"/>
        <v>krzyżakowy expando - 136276</v>
      </c>
      <c r="S39" s="35">
        <v>300319</v>
      </c>
      <c r="T39" s="35" t="str">
        <f t="shared" si="6"/>
        <v>prosty wkręt - 300319</v>
      </c>
      <c r="U39" s="35" t="s">
        <v>2118</v>
      </c>
      <c r="V39" s="35" t="str">
        <f t="shared" si="7"/>
        <v>prosty eurowkręt - N/A</v>
      </c>
      <c r="W39" s="35" t="s">
        <v>2118</v>
      </c>
      <c r="X39" s="35" t="str">
        <f t="shared" si="8"/>
        <v>prosty expando - N/A</v>
      </c>
      <c r="Y39" s="34"/>
      <c r="Z39" s="34"/>
    </row>
    <row r="40" spans="1:26" ht="15">
      <c r="A40" s="34" t="s">
        <v>1105</v>
      </c>
      <c r="B40" s="34" t="s">
        <v>567</v>
      </c>
      <c r="C40" s="34" t="str">
        <f>'Translate&amp;Prices&amp;Logo'!B555</f>
        <v>Nakładany</v>
      </c>
      <c r="D40" s="32" t="str">
        <f t="shared" si="0"/>
        <v>široký_HETTICH_Naložený</v>
      </c>
      <c r="E40" s="34" t="str">
        <f>'Translate&amp;Prices&amp;Logo'!$B$586</f>
        <v>tip-on bez sprężyny/tłumienie</v>
      </c>
      <c r="F40" s="34" t="str">
        <f>'Translate&amp;Prices&amp;Logo'!$B$587</f>
        <v>srebro</v>
      </c>
      <c r="G40" s="34" t="str">
        <f t="shared" si="10"/>
        <v>245723 - Nakładany tip-on bez sprężyny/tłumienie - srebro</v>
      </c>
      <c r="H40" s="35" t="s">
        <v>1103</v>
      </c>
      <c r="I40" s="35">
        <v>245723</v>
      </c>
      <c r="J40" s="35" t="s">
        <v>1103</v>
      </c>
      <c r="K40" s="35">
        <v>106403</v>
      </c>
      <c r="L40" s="35" t="str">
        <f t="shared" si="2"/>
        <v>krzyżakowy, wkręt - 106403</v>
      </c>
      <c r="M40" s="35" t="s">
        <v>2118</v>
      </c>
      <c r="N40" s="35" t="str">
        <f t="shared" si="3"/>
        <v>na wkręt (z mimośrodem) - N/A</v>
      </c>
      <c r="O40" s="35">
        <v>119240</v>
      </c>
      <c r="P40" s="35" t="str">
        <f t="shared" si="4"/>
        <v>krzyżakowy eurowkręt - 119240</v>
      </c>
      <c r="Q40" s="35">
        <v>136276</v>
      </c>
      <c r="R40" s="35" t="str">
        <f t="shared" si="5"/>
        <v>krzyżakowy expando - 136276</v>
      </c>
      <c r="S40" s="35">
        <v>300319</v>
      </c>
      <c r="T40" s="35" t="str">
        <f t="shared" si="6"/>
        <v>prosty wkręt - 300319</v>
      </c>
      <c r="U40" s="35" t="s">
        <v>2118</v>
      </c>
      <c r="V40" s="35" t="str">
        <f t="shared" si="7"/>
        <v>prosty eurowkręt - N/A</v>
      </c>
      <c r="W40" s="35" t="s">
        <v>2118</v>
      </c>
      <c r="X40" s="35" t="str">
        <f t="shared" si="8"/>
        <v>prosty expando - N/A</v>
      </c>
      <c r="Y40" s="34"/>
      <c r="Z40" s="34"/>
    </row>
    <row r="41" spans="1:26" ht="15">
      <c r="A41" s="34" t="s">
        <v>1105</v>
      </c>
      <c r="B41" s="34" t="s">
        <v>567</v>
      </c>
      <c r="C41" s="34" t="str">
        <f>'Translate&amp;Prices&amp;Logo'!B555</f>
        <v>Nakładany</v>
      </c>
      <c r="D41" s="32" t="str">
        <f t="shared" si="0"/>
        <v>široký_HETTICH_Naložený</v>
      </c>
      <c r="E41" s="34" t="str">
        <f>'Translate&amp;Prices&amp;Logo'!$B$586</f>
        <v>tip-on bez sprężyny/tłumienie</v>
      </c>
      <c r="F41" s="34" t="str">
        <f>'Translate&amp;Prices&amp;Logo'!$B$588</f>
        <v>czarny</v>
      </c>
      <c r="G41" s="34" t="str">
        <f t="shared" si="10"/>
        <v>344694 - Nakładany tip-on bez sprężyny/tłumienie - czarny</v>
      </c>
      <c r="H41" s="35" t="s">
        <v>1103</v>
      </c>
      <c r="I41" s="35">
        <v>344694</v>
      </c>
      <c r="J41" s="35" t="s">
        <v>1103</v>
      </c>
      <c r="K41" s="35" t="s">
        <v>2118</v>
      </c>
      <c r="L41" s="35" t="str">
        <f t="shared" si="2"/>
        <v>krzyżakowy, wkręt - N/A</v>
      </c>
      <c r="M41" s="35" t="s">
        <v>2118</v>
      </c>
      <c r="N41" s="35" t="str">
        <f t="shared" si="3"/>
        <v>na wkręt (z mimośrodem) - N/A</v>
      </c>
      <c r="O41" s="35" t="s">
        <v>2118</v>
      </c>
      <c r="P41" s="35" t="str">
        <f t="shared" si="4"/>
        <v>krzyżakowy eurowkręt - N/A</v>
      </c>
      <c r="Q41" s="35">
        <v>344727</v>
      </c>
      <c r="R41" s="35" t="str">
        <f t="shared" si="5"/>
        <v>krzyżakowy expando - 344727</v>
      </c>
      <c r="S41" s="35">
        <v>397949</v>
      </c>
      <c r="T41" s="35" t="str">
        <f t="shared" si="6"/>
        <v>prosty wkręt - 397949</v>
      </c>
      <c r="U41" s="35" t="s">
        <v>2118</v>
      </c>
      <c r="V41" s="35" t="str">
        <f t="shared" si="7"/>
        <v>prosty eurowkręt - N/A</v>
      </c>
      <c r="W41" s="35" t="s">
        <v>2118</v>
      </c>
      <c r="X41" s="35" t="str">
        <f t="shared" si="8"/>
        <v>prosty expando - N/A</v>
      </c>
      <c r="Y41" s="34"/>
      <c r="Z41" s="34"/>
    </row>
    <row r="42" spans="1:26" ht="15">
      <c r="A42" s="37" t="s">
        <v>1105</v>
      </c>
      <c r="B42" s="37" t="s">
        <v>567</v>
      </c>
      <c r="C42" s="37" t="str">
        <f>'Translate&amp;Prices&amp;Logo'!B556</f>
        <v>Półnakładany</v>
      </c>
      <c r="D42" s="32" t="str">
        <f t="shared" si="0"/>
        <v>široký_HETTICH_Polonaložený</v>
      </c>
      <c r="E42" s="37" t="str">
        <f>'Translate&amp;Prices&amp;Logo'!$B$584</f>
        <v>ze sprężyną z tłumieniem</v>
      </c>
      <c r="F42" s="34" t="str">
        <f>'Translate&amp;Prices&amp;Logo'!$B$587</f>
        <v>srebro</v>
      </c>
      <c r="G42" s="34" t="str">
        <f t="shared" si="10"/>
        <v>104718 - Półnakładany ze sprężyną z tłumieniem - srebro</v>
      </c>
      <c r="H42" s="35" t="s">
        <v>1103</v>
      </c>
      <c r="I42" s="35">
        <v>104718</v>
      </c>
      <c r="J42" s="35" t="s">
        <v>1103</v>
      </c>
      <c r="K42" s="35">
        <v>106403</v>
      </c>
      <c r="L42" s="35" t="str">
        <f t="shared" si="2"/>
        <v>krzyżakowy, wkręt - 106403</v>
      </c>
      <c r="M42" s="35" t="s">
        <v>2118</v>
      </c>
      <c r="N42" s="35" t="str">
        <f t="shared" si="3"/>
        <v>na wkręt (z mimośrodem) - N/A</v>
      </c>
      <c r="O42" s="35">
        <v>119240</v>
      </c>
      <c r="P42" s="35" t="str">
        <f t="shared" si="4"/>
        <v>krzyżakowy eurowkręt - 119240</v>
      </c>
      <c r="Q42" s="35">
        <v>136276</v>
      </c>
      <c r="R42" s="35" t="str">
        <f t="shared" si="5"/>
        <v>krzyżakowy expando - 136276</v>
      </c>
      <c r="S42" s="35">
        <v>300319</v>
      </c>
      <c r="T42" s="35" t="str">
        <f t="shared" si="6"/>
        <v>prosty wkręt - 300319</v>
      </c>
      <c r="U42" s="35" t="s">
        <v>2118</v>
      </c>
      <c r="V42" s="35" t="str">
        <f t="shared" si="7"/>
        <v>prosty eurowkręt - N/A</v>
      </c>
      <c r="W42" s="35" t="s">
        <v>2118</v>
      </c>
      <c r="X42" s="35" t="str">
        <f t="shared" si="8"/>
        <v>prosty expando - N/A</v>
      </c>
      <c r="Y42" s="34"/>
      <c r="Z42" s="34"/>
    </row>
    <row r="43" spans="1:26" ht="15">
      <c r="A43" s="37" t="s">
        <v>1105</v>
      </c>
      <c r="B43" s="37" t="s">
        <v>567</v>
      </c>
      <c r="C43" s="37" t="str">
        <f>'Translate&amp;Prices&amp;Logo'!B556</f>
        <v>Półnakładany</v>
      </c>
      <c r="D43" s="32" t="str">
        <f t="shared" si="0"/>
        <v>široký_HETTICH_Polonaložený</v>
      </c>
      <c r="E43" s="37" t="str">
        <f>'Translate&amp;Prices&amp;Logo'!$B$584</f>
        <v>ze sprężyną z tłumieniem</v>
      </c>
      <c r="F43" s="34" t="str">
        <f>'Translate&amp;Prices&amp;Logo'!$B$588</f>
        <v>czarny</v>
      </c>
      <c r="G43" s="34" t="str">
        <f t="shared" si="10"/>
        <v>344692 - Półnakładany ze sprężyną z tłumieniem - czarny</v>
      </c>
      <c r="H43" s="35" t="s">
        <v>1103</v>
      </c>
      <c r="I43" s="35">
        <v>344692</v>
      </c>
      <c r="J43" s="35" t="s">
        <v>1103</v>
      </c>
      <c r="K43" s="35" t="s">
        <v>2118</v>
      </c>
      <c r="L43" s="35" t="str">
        <f t="shared" si="2"/>
        <v>krzyżakowy, wkręt - N/A</v>
      </c>
      <c r="M43" s="35" t="s">
        <v>2118</v>
      </c>
      <c r="N43" s="35" t="str">
        <f t="shared" si="3"/>
        <v>na wkręt (z mimośrodem) - N/A</v>
      </c>
      <c r="O43" s="35" t="s">
        <v>2118</v>
      </c>
      <c r="P43" s="35" t="str">
        <f t="shared" si="4"/>
        <v>krzyżakowy eurowkręt - N/A</v>
      </c>
      <c r="Q43" s="35">
        <v>344727</v>
      </c>
      <c r="R43" s="35" t="str">
        <f t="shared" si="5"/>
        <v>krzyżakowy expando - 344727</v>
      </c>
      <c r="S43" s="35">
        <v>397949</v>
      </c>
      <c r="T43" s="35" t="str">
        <f t="shared" si="6"/>
        <v>prosty wkręt - 397949</v>
      </c>
      <c r="U43" s="35" t="s">
        <v>2118</v>
      </c>
      <c r="V43" s="35" t="str">
        <f t="shared" si="7"/>
        <v>prosty eurowkręt - N/A</v>
      </c>
      <c r="W43" s="35" t="s">
        <v>2118</v>
      </c>
      <c r="X43" s="35" t="str">
        <f t="shared" si="8"/>
        <v>prosty expando - N/A</v>
      </c>
      <c r="Y43" s="34"/>
      <c r="Z43" s="34"/>
    </row>
    <row r="44" spans="1:26" ht="15">
      <c r="A44" s="37" t="s">
        <v>1105</v>
      </c>
      <c r="B44" s="37" t="s">
        <v>567</v>
      </c>
      <c r="C44" s="37" t="str">
        <f>'Translate&amp;Prices&amp;Logo'!B556</f>
        <v>Półnakładany</v>
      </c>
      <c r="D44" s="32" t="str">
        <f t="shared" si="0"/>
        <v>široký_HETTICH_Polonaložený</v>
      </c>
      <c r="E44" s="37" t="str">
        <f>'Translate&amp;Prices&amp;Logo'!$B$585</f>
        <v>ze sprężyną bez tłumienia</v>
      </c>
      <c r="F44" s="34" t="str">
        <f>'Translate&amp;Prices&amp;Logo'!$B$587</f>
        <v>srebro</v>
      </c>
      <c r="G44" s="34" t="str">
        <f t="shared" si="10"/>
        <v>232347 - Półnakładany ze sprężyną bez tłumienia - srebro</v>
      </c>
      <c r="H44" s="35" t="s">
        <v>1103</v>
      </c>
      <c r="I44" s="35">
        <v>232347</v>
      </c>
      <c r="J44" s="35" t="s">
        <v>1103</v>
      </c>
      <c r="K44" s="35">
        <v>106403</v>
      </c>
      <c r="L44" s="35" t="str">
        <f t="shared" si="2"/>
        <v>krzyżakowy, wkręt - 106403</v>
      </c>
      <c r="M44" s="35" t="s">
        <v>2118</v>
      </c>
      <c r="N44" s="35" t="str">
        <f t="shared" si="3"/>
        <v>na wkręt (z mimośrodem) - N/A</v>
      </c>
      <c r="O44" s="35">
        <v>119240</v>
      </c>
      <c r="P44" s="35" t="str">
        <f t="shared" si="4"/>
        <v>krzyżakowy eurowkręt - 119240</v>
      </c>
      <c r="Q44" s="35">
        <v>136276</v>
      </c>
      <c r="R44" s="35" t="str">
        <f t="shared" si="5"/>
        <v>krzyżakowy expando - 136276</v>
      </c>
      <c r="S44" s="35">
        <v>300319</v>
      </c>
      <c r="T44" s="35" t="str">
        <f t="shared" si="6"/>
        <v>prosty wkręt - 300319</v>
      </c>
      <c r="U44" s="35" t="s">
        <v>2118</v>
      </c>
      <c r="V44" s="35" t="str">
        <f t="shared" si="7"/>
        <v>prosty eurowkręt - N/A</v>
      </c>
      <c r="W44" s="35" t="s">
        <v>2118</v>
      </c>
      <c r="X44" s="35" t="str">
        <f t="shared" si="8"/>
        <v>prosty expando - N/A</v>
      </c>
      <c r="Y44" s="34"/>
      <c r="Z44" s="34"/>
    </row>
    <row r="45" spans="1:26" ht="15">
      <c r="A45" s="37" t="s">
        <v>1105</v>
      </c>
      <c r="B45" s="37" t="s">
        <v>567</v>
      </c>
      <c r="C45" s="37" t="str">
        <f>'Translate&amp;Prices&amp;Logo'!B556</f>
        <v>Półnakładany</v>
      </c>
      <c r="D45" s="32" t="str">
        <f t="shared" si="0"/>
        <v>široký_HETTICH_Polonaložený</v>
      </c>
      <c r="E45" s="37" t="str">
        <f>'Translate&amp;Prices&amp;Logo'!$B$586</f>
        <v>tip-on bez sprężyny/tłumienie</v>
      </c>
      <c r="F45" s="34" t="str">
        <f>'Translate&amp;Prices&amp;Logo'!$B$587</f>
        <v>srebro</v>
      </c>
      <c r="G45" s="34" t="str">
        <f t="shared" si="10"/>
        <v>245724 - Półnakładany tip-on bez sprężyny/tłumienie - srebro</v>
      </c>
      <c r="H45" s="35" t="s">
        <v>1103</v>
      </c>
      <c r="I45" s="35">
        <v>245724</v>
      </c>
      <c r="J45" s="35" t="s">
        <v>1103</v>
      </c>
      <c r="K45" s="35">
        <v>106403</v>
      </c>
      <c r="L45" s="35" t="str">
        <f t="shared" si="2"/>
        <v>krzyżakowy, wkręt - 106403</v>
      </c>
      <c r="M45" s="35" t="s">
        <v>2118</v>
      </c>
      <c r="N45" s="35" t="str">
        <f t="shared" si="3"/>
        <v>na wkręt (z mimośrodem) - N/A</v>
      </c>
      <c r="O45" s="35">
        <v>119240</v>
      </c>
      <c r="P45" s="35" t="str">
        <f t="shared" si="4"/>
        <v>krzyżakowy eurowkręt - 119240</v>
      </c>
      <c r="Q45" s="35">
        <v>136276</v>
      </c>
      <c r="R45" s="35" t="str">
        <f t="shared" si="5"/>
        <v>krzyżakowy expando - 136276</v>
      </c>
      <c r="S45" s="35">
        <v>300319</v>
      </c>
      <c r="T45" s="35" t="str">
        <f t="shared" si="6"/>
        <v>prosty wkręt - 300319</v>
      </c>
      <c r="U45" s="35" t="s">
        <v>2118</v>
      </c>
      <c r="V45" s="35" t="str">
        <f t="shared" si="7"/>
        <v>prosty eurowkręt - N/A</v>
      </c>
      <c r="W45" s="35" t="s">
        <v>2118</v>
      </c>
      <c r="X45" s="35" t="str">
        <f t="shared" si="8"/>
        <v>prosty expando - N/A</v>
      </c>
      <c r="Y45" s="34"/>
      <c r="Z45" s="34"/>
    </row>
    <row r="46" spans="1:26" ht="15">
      <c r="A46" s="37" t="s">
        <v>1105</v>
      </c>
      <c r="B46" s="37" t="s">
        <v>567</v>
      </c>
      <c r="C46" s="37" t="str">
        <f>'Translate&amp;Prices&amp;Logo'!B556</f>
        <v>Półnakładany</v>
      </c>
      <c r="D46" s="32" t="str">
        <f t="shared" si="0"/>
        <v>široký_HETTICH_Polonaložený</v>
      </c>
      <c r="E46" s="37" t="str">
        <f>'Translate&amp;Prices&amp;Logo'!$B$586</f>
        <v>tip-on bez sprężyny/tłumienie</v>
      </c>
      <c r="F46" s="34" t="str">
        <f>'Translate&amp;Prices&amp;Logo'!$B$588</f>
        <v>czarny</v>
      </c>
      <c r="G46" s="34" t="str">
        <f t="shared" si="10"/>
        <v>344695 - Półnakładany tip-on bez sprężyny/tłumienie - czarny</v>
      </c>
      <c r="H46" s="35" t="s">
        <v>1103</v>
      </c>
      <c r="I46" s="35">
        <v>344695</v>
      </c>
      <c r="J46" s="35" t="s">
        <v>1103</v>
      </c>
      <c r="K46" s="35" t="s">
        <v>2118</v>
      </c>
      <c r="L46" s="35" t="str">
        <f t="shared" si="2"/>
        <v>krzyżakowy, wkręt - N/A</v>
      </c>
      <c r="M46" s="35" t="s">
        <v>2118</v>
      </c>
      <c r="N46" s="35" t="str">
        <f t="shared" si="3"/>
        <v>na wkręt (z mimośrodem) - N/A</v>
      </c>
      <c r="O46" s="35" t="s">
        <v>2118</v>
      </c>
      <c r="P46" s="35" t="str">
        <f t="shared" si="4"/>
        <v>krzyżakowy eurowkręt - N/A</v>
      </c>
      <c r="Q46" s="35">
        <v>344727</v>
      </c>
      <c r="R46" s="35" t="str">
        <f t="shared" si="5"/>
        <v>krzyżakowy expando - 344727</v>
      </c>
      <c r="S46" s="35">
        <v>397949</v>
      </c>
      <c r="T46" s="35" t="str">
        <f t="shared" si="6"/>
        <v>prosty wkręt - 397949</v>
      </c>
      <c r="U46" s="35" t="s">
        <v>2118</v>
      </c>
      <c r="V46" s="35" t="str">
        <f t="shared" si="7"/>
        <v>prosty eurowkręt - N/A</v>
      </c>
      <c r="W46" s="35" t="s">
        <v>2118</v>
      </c>
      <c r="X46" s="35" t="str">
        <f t="shared" si="8"/>
        <v>prosty expando - N/A</v>
      </c>
      <c r="Y46" s="34"/>
      <c r="Z46" s="34"/>
    </row>
    <row r="47" spans="1:26" ht="15">
      <c r="A47" s="34" t="s">
        <v>1105</v>
      </c>
      <c r="B47" s="34" t="s">
        <v>567</v>
      </c>
      <c r="C47" s="34" t="str">
        <f>'Translate&amp;Prices&amp;Logo'!B557</f>
        <v>Wpuszczany</v>
      </c>
      <c r="D47" s="32" t="str">
        <f t="shared" si="0"/>
        <v>široký_HETTICH_Vložený</v>
      </c>
      <c r="E47" s="34" t="str">
        <f>'Translate&amp;Prices&amp;Logo'!$B$584</f>
        <v>ze sprężyną z tłumieniem</v>
      </c>
      <c r="F47" s="34" t="str">
        <f>'Translate&amp;Prices&amp;Logo'!$B$587</f>
        <v>srebro</v>
      </c>
      <c r="G47" s="34" t="str">
        <f t="shared" si="10"/>
        <v>104719 - Wpuszczany ze sprężyną z tłumieniem - srebro</v>
      </c>
      <c r="H47" s="35" t="s">
        <v>1103</v>
      </c>
      <c r="I47" s="35">
        <v>104719</v>
      </c>
      <c r="J47" s="35" t="s">
        <v>1103</v>
      </c>
      <c r="K47" s="35">
        <v>106403</v>
      </c>
      <c r="L47" s="35" t="str">
        <f t="shared" si="2"/>
        <v>krzyżakowy, wkręt - 106403</v>
      </c>
      <c r="M47" s="35" t="s">
        <v>2118</v>
      </c>
      <c r="N47" s="35" t="str">
        <f t="shared" si="3"/>
        <v>na wkręt (z mimośrodem) - N/A</v>
      </c>
      <c r="O47" s="35">
        <v>119240</v>
      </c>
      <c r="P47" s="35" t="str">
        <f t="shared" si="4"/>
        <v>krzyżakowy eurowkręt - 119240</v>
      </c>
      <c r="Q47" s="35">
        <v>136276</v>
      </c>
      <c r="R47" s="35" t="str">
        <f t="shared" si="5"/>
        <v>krzyżakowy expando - 136276</v>
      </c>
      <c r="S47" s="35">
        <v>300319</v>
      </c>
      <c r="T47" s="35" t="str">
        <f t="shared" si="6"/>
        <v>prosty wkręt - 300319</v>
      </c>
      <c r="U47" s="35" t="s">
        <v>2118</v>
      </c>
      <c r="V47" s="35" t="str">
        <f t="shared" si="7"/>
        <v>prosty eurowkręt - N/A</v>
      </c>
      <c r="W47" s="35" t="s">
        <v>2118</v>
      </c>
      <c r="X47" s="35" t="str">
        <f t="shared" si="8"/>
        <v>prosty expando - N/A</v>
      </c>
      <c r="Y47" s="34"/>
      <c r="Z47" s="34"/>
    </row>
    <row r="48" spans="1:26" ht="15">
      <c r="A48" s="34" t="s">
        <v>1105</v>
      </c>
      <c r="B48" s="34" t="s">
        <v>567</v>
      </c>
      <c r="C48" s="34" t="str">
        <f>'Translate&amp;Prices&amp;Logo'!B557</f>
        <v>Wpuszczany</v>
      </c>
      <c r="D48" s="32" t="str">
        <f t="shared" si="0"/>
        <v>široký_HETTICH_Vložený</v>
      </c>
      <c r="E48" s="34" t="str">
        <f>'Translate&amp;Prices&amp;Logo'!$B$584</f>
        <v>ze sprężyną z tłumieniem</v>
      </c>
      <c r="F48" s="34" t="str">
        <f>'Translate&amp;Prices&amp;Logo'!$B$588</f>
        <v>czarny</v>
      </c>
      <c r="G48" s="34" t="str">
        <f t="shared" si="10"/>
        <v>344693 - Wpuszczany ze sprężyną z tłumieniem - czarny</v>
      </c>
      <c r="H48" s="35" t="s">
        <v>1103</v>
      </c>
      <c r="I48" s="35">
        <v>344693</v>
      </c>
      <c r="J48" s="35" t="s">
        <v>1103</v>
      </c>
      <c r="K48" s="35" t="s">
        <v>2118</v>
      </c>
      <c r="L48" s="35" t="str">
        <f t="shared" si="2"/>
        <v>krzyżakowy, wkręt - N/A</v>
      </c>
      <c r="M48" s="35" t="s">
        <v>2118</v>
      </c>
      <c r="N48" s="35" t="str">
        <f t="shared" si="3"/>
        <v>na wkręt (z mimośrodem) - N/A</v>
      </c>
      <c r="O48" s="35" t="s">
        <v>2118</v>
      </c>
      <c r="P48" s="35" t="str">
        <f t="shared" si="4"/>
        <v>krzyżakowy eurowkręt - N/A</v>
      </c>
      <c r="Q48" s="35">
        <v>344727</v>
      </c>
      <c r="R48" s="35" t="str">
        <f t="shared" si="5"/>
        <v>krzyżakowy expando - 344727</v>
      </c>
      <c r="S48" s="35">
        <v>397949</v>
      </c>
      <c r="T48" s="35" t="str">
        <f t="shared" si="6"/>
        <v>prosty wkręt - 397949</v>
      </c>
      <c r="U48" s="35" t="s">
        <v>2118</v>
      </c>
      <c r="V48" s="35" t="str">
        <f t="shared" si="7"/>
        <v>prosty eurowkręt - N/A</v>
      </c>
      <c r="W48" s="35" t="s">
        <v>2118</v>
      </c>
      <c r="X48" s="35" t="str">
        <f t="shared" si="8"/>
        <v>prosty expando - N/A</v>
      </c>
      <c r="Y48" s="34"/>
      <c r="Z48" s="34"/>
    </row>
    <row r="49" spans="1:26" ht="15">
      <c r="A49" s="34" t="s">
        <v>1105</v>
      </c>
      <c r="B49" s="34" t="s">
        <v>567</v>
      </c>
      <c r="C49" s="34" t="str">
        <f>'Translate&amp;Prices&amp;Logo'!B557</f>
        <v>Wpuszczany</v>
      </c>
      <c r="D49" s="32" t="str">
        <f t="shared" si="0"/>
        <v>široký_HETTICH_Vložený</v>
      </c>
      <c r="E49" s="34" t="str">
        <f>'Translate&amp;Prices&amp;Logo'!$B$585</f>
        <v>ze sprężyną bez tłumienia</v>
      </c>
      <c r="F49" s="34" t="str">
        <f>'Translate&amp;Prices&amp;Logo'!$B$587</f>
        <v>srebro</v>
      </c>
      <c r="G49" s="34" t="str">
        <f t="shared" si="10"/>
        <v>232348 - Wpuszczany ze sprężyną bez tłumienia - srebro</v>
      </c>
      <c r="H49" s="35" t="s">
        <v>1103</v>
      </c>
      <c r="I49" s="35">
        <v>232348</v>
      </c>
      <c r="J49" s="35" t="s">
        <v>1103</v>
      </c>
      <c r="K49" s="35">
        <v>106403</v>
      </c>
      <c r="L49" s="35" t="str">
        <f t="shared" si="2"/>
        <v>krzyżakowy, wkręt - 106403</v>
      </c>
      <c r="M49" s="35" t="s">
        <v>2118</v>
      </c>
      <c r="N49" s="35" t="str">
        <f t="shared" si="3"/>
        <v>na wkręt (z mimośrodem) - N/A</v>
      </c>
      <c r="O49" s="35">
        <v>119240</v>
      </c>
      <c r="P49" s="35" t="str">
        <f t="shared" si="4"/>
        <v>krzyżakowy eurowkręt - 119240</v>
      </c>
      <c r="Q49" s="35">
        <v>136276</v>
      </c>
      <c r="R49" s="35" t="str">
        <f t="shared" si="5"/>
        <v>krzyżakowy expando - 136276</v>
      </c>
      <c r="S49" s="35">
        <v>300319</v>
      </c>
      <c r="T49" s="35" t="str">
        <f t="shared" si="6"/>
        <v>prosty wkręt - 300319</v>
      </c>
      <c r="U49" s="35" t="s">
        <v>2118</v>
      </c>
      <c r="V49" s="35" t="str">
        <f t="shared" si="7"/>
        <v>prosty eurowkręt - N/A</v>
      </c>
      <c r="W49" s="35" t="s">
        <v>2118</v>
      </c>
      <c r="X49" s="35" t="str">
        <f t="shared" si="8"/>
        <v>prosty expando - N/A</v>
      </c>
      <c r="Y49" s="34"/>
      <c r="Z49" s="34"/>
    </row>
    <row r="50" spans="1:26" ht="15">
      <c r="A50" s="34" t="s">
        <v>1105</v>
      </c>
      <c r="B50" s="34" t="s">
        <v>567</v>
      </c>
      <c r="C50" s="34" t="str">
        <f>'Translate&amp;Prices&amp;Logo'!B557</f>
        <v>Wpuszczany</v>
      </c>
      <c r="D50" s="32" t="str">
        <f t="shared" si="0"/>
        <v>široký_HETTICH_Vložený</v>
      </c>
      <c r="E50" s="34" t="str">
        <f>'Translate&amp;Prices&amp;Logo'!$B$586</f>
        <v>tip-on bez sprężyny/tłumienie</v>
      </c>
      <c r="F50" s="34" t="str">
        <f>'Translate&amp;Prices&amp;Logo'!$B$587</f>
        <v>srebro</v>
      </c>
      <c r="G50" s="34" t="str">
        <f t="shared" si="10"/>
        <v>245725 - Wpuszczany tip-on bez sprężyny/tłumienie - srebro</v>
      </c>
      <c r="H50" s="35" t="s">
        <v>1103</v>
      </c>
      <c r="I50" s="35">
        <v>245725</v>
      </c>
      <c r="J50" s="35" t="s">
        <v>1103</v>
      </c>
      <c r="K50" s="35">
        <v>106403</v>
      </c>
      <c r="L50" s="35" t="str">
        <f t="shared" si="2"/>
        <v>krzyżakowy, wkręt - 106403</v>
      </c>
      <c r="M50" s="35" t="s">
        <v>2118</v>
      </c>
      <c r="N50" s="35" t="str">
        <f t="shared" si="3"/>
        <v>na wkręt (z mimośrodem) - N/A</v>
      </c>
      <c r="O50" s="35">
        <v>119240</v>
      </c>
      <c r="P50" s="35" t="str">
        <f t="shared" si="4"/>
        <v>krzyżakowy eurowkręt - 119240</v>
      </c>
      <c r="Q50" s="35">
        <v>136276</v>
      </c>
      <c r="R50" s="35" t="str">
        <f t="shared" si="5"/>
        <v>krzyżakowy expando - 136276</v>
      </c>
      <c r="S50" s="35">
        <v>300319</v>
      </c>
      <c r="T50" s="35" t="str">
        <f t="shared" si="6"/>
        <v>prosty wkręt - 300319</v>
      </c>
      <c r="U50" s="35" t="s">
        <v>2118</v>
      </c>
      <c r="V50" s="35" t="str">
        <f t="shared" si="7"/>
        <v>prosty eurowkręt - N/A</v>
      </c>
      <c r="W50" s="35" t="s">
        <v>2118</v>
      </c>
      <c r="X50" s="35" t="str">
        <f t="shared" si="8"/>
        <v>prosty expando - N/A</v>
      </c>
      <c r="Y50" s="34"/>
      <c r="Z50" s="34"/>
    </row>
    <row r="51" spans="1:26" ht="15">
      <c r="A51" s="34" t="s">
        <v>1105</v>
      </c>
      <c r="B51" s="34" t="s">
        <v>567</v>
      </c>
      <c r="C51" s="34" t="str">
        <f>'Translate&amp;Prices&amp;Logo'!B557</f>
        <v>Wpuszczany</v>
      </c>
      <c r="D51" s="32" t="str">
        <f t="shared" si="0"/>
        <v>široký_HETTICH_Vložený</v>
      </c>
      <c r="E51" s="34" t="str">
        <f>'Translate&amp;Prices&amp;Logo'!$B$586</f>
        <v>tip-on bez sprężyny/tłumienie</v>
      </c>
      <c r="F51" s="34" t="str">
        <f>'Translate&amp;Prices&amp;Logo'!$B$588</f>
        <v>czarny</v>
      </c>
      <c r="G51" s="34" t="str">
        <f t="shared" si="10"/>
        <v>344696 - Wpuszczany tip-on bez sprężyny/tłumienie - czarny</v>
      </c>
      <c r="H51" s="35" t="s">
        <v>1103</v>
      </c>
      <c r="I51" s="35">
        <v>344696</v>
      </c>
      <c r="J51" s="35" t="s">
        <v>1103</v>
      </c>
      <c r="K51" s="35" t="s">
        <v>2118</v>
      </c>
      <c r="L51" s="35" t="str">
        <f t="shared" si="2"/>
        <v>krzyżakowy, wkręt - N/A</v>
      </c>
      <c r="M51" s="35" t="s">
        <v>2118</v>
      </c>
      <c r="N51" s="35" t="str">
        <f t="shared" si="3"/>
        <v>na wkręt (z mimośrodem) - N/A</v>
      </c>
      <c r="O51" s="35" t="s">
        <v>2118</v>
      </c>
      <c r="P51" s="35" t="str">
        <f t="shared" si="4"/>
        <v>krzyżakowy eurowkręt - N/A</v>
      </c>
      <c r="Q51" s="35">
        <v>344727</v>
      </c>
      <c r="R51" s="35" t="str">
        <f t="shared" si="5"/>
        <v>krzyżakowy expando - 344727</v>
      </c>
      <c r="S51" s="35">
        <v>397949</v>
      </c>
      <c r="T51" s="35" t="str">
        <f t="shared" si="6"/>
        <v>prosty wkręt - 397949</v>
      </c>
      <c r="U51" s="35" t="s">
        <v>2118</v>
      </c>
      <c r="V51" s="35" t="str">
        <f t="shared" si="7"/>
        <v>prosty eurowkręt - N/A</v>
      </c>
      <c r="W51" s="35" t="s">
        <v>2118</v>
      </c>
      <c r="X51" s="35" t="str">
        <f t="shared" si="8"/>
        <v>prosty expando - N/A</v>
      </c>
      <c r="Y51" s="34"/>
      <c r="Z51" s="34"/>
    </row>
    <row r="52" spans="1:26" ht="15">
      <c r="A52" s="37" t="s">
        <v>1105</v>
      </c>
      <c r="B52" s="37" t="s">
        <v>57</v>
      </c>
      <c r="C52" s="37" t="str">
        <f>'Translate&amp;Prices&amp;Logo'!B555</f>
        <v>Nakładany</v>
      </c>
      <c r="D52" s="32" t="str">
        <f t="shared" si="0"/>
        <v>široký_STRONG_Naložený</v>
      </c>
      <c r="E52" s="37" t="str">
        <f>'Translate&amp;Prices&amp;Logo'!$B$584</f>
        <v>ze sprężyną z tłumieniem</v>
      </c>
      <c r="F52" s="34" t="str">
        <f>'Translate&amp;Prices&amp;Logo'!$B$587</f>
        <v>srebro</v>
      </c>
      <c r="G52" s="34" t="str">
        <f t="shared" si="10"/>
        <v>92580T - Nakładany ze sprężyną z tłumieniem - srebro</v>
      </c>
      <c r="H52" s="35" t="s">
        <v>1103</v>
      </c>
      <c r="I52" s="35" t="s">
        <v>59</v>
      </c>
      <c r="J52" s="35" t="s">
        <v>1103</v>
      </c>
      <c r="K52" s="35" t="s">
        <v>58</v>
      </c>
      <c r="L52" s="35" t="str">
        <f>CONCATENATE($K$1," - ",K52)</f>
        <v>krzyżakowy, wkręt - 92590T</v>
      </c>
      <c r="M52" s="35" t="s">
        <v>62</v>
      </c>
      <c r="N52" s="35" t="str">
        <f t="shared" si="3"/>
        <v>na wkręt (z mimośrodem) - 92594T</v>
      </c>
      <c r="O52" s="35" t="s">
        <v>63</v>
      </c>
      <c r="P52" s="35" t="str">
        <f t="shared" si="4"/>
        <v>krzyżakowy eurowkręt - 92591T</v>
      </c>
      <c r="Q52" s="35" t="s">
        <v>2118</v>
      </c>
      <c r="R52" s="35" t="str">
        <f t="shared" si="5"/>
        <v>krzyżakowy expando - N/A</v>
      </c>
      <c r="S52" s="35" t="s">
        <v>2118</v>
      </c>
      <c r="T52" s="35" t="str">
        <f t="shared" si="6"/>
        <v>prosty wkręt - N/A</v>
      </c>
      <c r="U52" s="35" t="s">
        <v>2118</v>
      </c>
      <c r="V52" s="35" t="str">
        <f t="shared" si="7"/>
        <v>prosty eurowkręt - N/A</v>
      </c>
      <c r="W52" s="35" t="s">
        <v>2118</v>
      </c>
      <c r="X52" s="35" t="str">
        <f t="shared" si="8"/>
        <v>prosty expando - N/A</v>
      </c>
      <c r="Y52" s="34"/>
      <c r="Z52" s="34"/>
    </row>
    <row r="53" spans="1:26" ht="15">
      <c r="A53" s="37" t="s">
        <v>1105</v>
      </c>
      <c r="B53" s="37" t="s">
        <v>57</v>
      </c>
      <c r="C53" s="37" t="str">
        <f>'Translate&amp;Prices&amp;Logo'!B555</f>
        <v>Nakładany</v>
      </c>
      <c r="D53" s="32" t="str">
        <f t="shared" si="0"/>
        <v>široký_STRONG_Naložený</v>
      </c>
      <c r="E53" s="37" t="str">
        <f>'Translate&amp;Prices&amp;Logo'!$B$585</f>
        <v>ze sprężyną bez tłumienia</v>
      </c>
      <c r="F53" s="34" t="str">
        <f>'Translate&amp;Prices&amp;Logo'!$B$587</f>
        <v>srebro</v>
      </c>
      <c r="G53" s="34" t="str">
        <f t="shared" si="10"/>
        <v>198818 - Nakładany ze sprężyną bez tłumienia - srebro</v>
      </c>
      <c r="H53" s="35" t="s">
        <v>1103</v>
      </c>
      <c r="I53" s="35">
        <v>198818</v>
      </c>
      <c r="J53" s="35" t="s">
        <v>1103</v>
      </c>
      <c r="K53" s="35" t="s">
        <v>58</v>
      </c>
      <c r="L53" s="35" t="str">
        <f>CONCATENATE($K$1," - ",K53)</f>
        <v>krzyżakowy, wkręt - 92590T</v>
      </c>
      <c r="M53" s="35" t="s">
        <v>62</v>
      </c>
      <c r="N53" s="35" t="str">
        <f t="shared" si="3"/>
        <v>na wkręt (z mimośrodem) - 92594T</v>
      </c>
      <c r="O53" s="35" t="s">
        <v>63</v>
      </c>
      <c r="P53" s="35" t="str">
        <f t="shared" si="4"/>
        <v>krzyżakowy eurowkręt - 92591T</v>
      </c>
      <c r="Q53" s="35" t="s">
        <v>2118</v>
      </c>
      <c r="R53" s="35" t="str">
        <f t="shared" si="5"/>
        <v>krzyżakowy expando - N/A</v>
      </c>
      <c r="S53" s="35" t="s">
        <v>2118</v>
      </c>
      <c r="T53" s="35" t="str">
        <f t="shared" si="6"/>
        <v>prosty wkręt - N/A</v>
      </c>
      <c r="U53" s="35" t="s">
        <v>2118</v>
      </c>
      <c r="V53" s="35" t="str">
        <f t="shared" si="7"/>
        <v>prosty eurowkręt - N/A</v>
      </c>
      <c r="W53" s="35" t="s">
        <v>2118</v>
      </c>
      <c r="X53" s="35" t="str">
        <f t="shared" si="8"/>
        <v>prosty expando - N/A</v>
      </c>
      <c r="Y53" s="34"/>
      <c r="Z53" s="34"/>
    </row>
    <row r="54" spans="1:26" ht="15">
      <c r="A54" s="34" t="s">
        <v>1105</v>
      </c>
      <c r="B54" s="34" t="s">
        <v>57</v>
      </c>
      <c r="C54" s="34" t="str">
        <f>'Translate&amp;Prices&amp;Logo'!B556</f>
        <v>Półnakładany</v>
      </c>
      <c r="D54" s="32" t="str">
        <f t="shared" si="0"/>
        <v>široký_STRONG_Polonaložený</v>
      </c>
      <c r="E54" s="34" t="str">
        <f>'Translate&amp;Prices&amp;Logo'!$B$584</f>
        <v>ze sprężyną z tłumieniem</v>
      </c>
      <c r="F54" s="34" t="str">
        <f>'Translate&amp;Prices&amp;Logo'!$B$587</f>
        <v>srebro</v>
      </c>
      <c r="G54" s="34" t="str">
        <f t="shared" si="10"/>
        <v>92581T - Półnakładany ze sprężyną z tłumieniem - srebro</v>
      </c>
      <c r="H54" s="35" t="s">
        <v>1103</v>
      </c>
      <c r="I54" s="35" t="s">
        <v>60</v>
      </c>
      <c r="J54" s="35" t="s">
        <v>1103</v>
      </c>
      <c r="K54" s="35" t="s">
        <v>58</v>
      </c>
      <c r="L54" s="35" t="str">
        <f>CONCATENATE($K$1," - ",K54)</f>
        <v>krzyżakowy, wkręt - 92590T</v>
      </c>
      <c r="M54" s="35" t="s">
        <v>62</v>
      </c>
      <c r="N54" s="35" t="str">
        <f t="shared" si="3"/>
        <v>na wkręt (z mimośrodem) - 92594T</v>
      </c>
      <c r="O54" s="35" t="s">
        <v>63</v>
      </c>
      <c r="P54" s="35" t="str">
        <f t="shared" si="4"/>
        <v>krzyżakowy eurowkręt - 92591T</v>
      </c>
      <c r="Q54" s="35" t="s">
        <v>2118</v>
      </c>
      <c r="R54" s="35" t="str">
        <f t="shared" si="5"/>
        <v>krzyżakowy expando - N/A</v>
      </c>
      <c r="S54" s="35" t="s">
        <v>2118</v>
      </c>
      <c r="T54" s="35" t="str">
        <f t="shared" si="6"/>
        <v>prosty wkręt - N/A</v>
      </c>
      <c r="U54" s="35" t="s">
        <v>2118</v>
      </c>
      <c r="V54" s="35" t="str">
        <f t="shared" si="7"/>
        <v>prosty eurowkręt - N/A</v>
      </c>
      <c r="W54" s="35" t="s">
        <v>2118</v>
      </c>
      <c r="X54" s="35" t="str">
        <f t="shared" si="8"/>
        <v>prosty expando - N/A</v>
      </c>
      <c r="Y54" s="34"/>
      <c r="Z54" s="34"/>
    </row>
    <row r="55" spans="1:26" ht="15">
      <c r="A55" s="34" t="s">
        <v>1105</v>
      </c>
      <c r="B55" s="34" t="s">
        <v>57</v>
      </c>
      <c r="C55" s="34" t="str">
        <f>'Translate&amp;Prices&amp;Logo'!B556</f>
        <v>Półnakładany</v>
      </c>
      <c r="D55" s="32" t="str">
        <f t="shared" si="0"/>
        <v>široký_STRONG_Polonaložený</v>
      </c>
      <c r="E55" s="34" t="str">
        <f>'Translate&amp;Prices&amp;Logo'!$B$585</f>
        <v>ze sprężyną bez tłumienia</v>
      </c>
      <c r="F55" s="34" t="str">
        <f>'Translate&amp;Prices&amp;Logo'!$B$587</f>
        <v>srebro</v>
      </c>
      <c r="G55" s="34" t="str">
        <f t="shared" si="10"/>
        <v>198819 - Półnakładany ze sprężyną bez tłumienia - srebro</v>
      </c>
      <c r="H55" s="35" t="s">
        <v>1103</v>
      </c>
      <c r="I55" s="35">
        <v>198819</v>
      </c>
      <c r="J55" s="35" t="s">
        <v>1103</v>
      </c>
      <c r="K55" s="35" t="s">
        <v>58</v>
      </c>
      <c r="L55" s="35" t="str">
        <f>CONCATENATE($K$1," - ",K55)</f>
        <v>krzyżakowy, wkręt - 92590T</v>
      </c>
      <c r="M55" s="35" t="s">
        <v>62</v>
      </c>
      <c r="N55" s="35" t="str">
        <f t="shared" si="3"/>
        <v>na wkręt (z mimośrodem) - 92594T</v>
      </c>
      <c r="O55" s="35" t="s">
        <v>63</v>
      </c>
      <c r="P55" s="35" t="str">
        <f t="shared" si="4"/>
        <v>krzyżakowy eurowkręt - 92591T</v>
      </c>
      <c r="Q55" s="35" t="s">
        <v>2118</v>
      </c>
      <c r="R55" s="35" t="str">
        <f t="shared" si="5"/>
        <v>krzyżakowy expando - N/A</v>
      </c>
      <c r="S55" s="35" t="s">
        <v>2118</v>
      </c>
      <c r="T55" s="35" t="str">
        <f t="shared" si="6"/>
        <v>prosty wkręt - N/A</v>
      </c>
      <c r="U55" s="35" t="s">
        <v>2118</v>
      </c>
      <c r="V55" s="35" t="str">
        <f t="shared" si="7"/>
        <v>prosty eurowkręt - N/A</v>
      </c>
      <c r="W55" s="35" t="s">
        <v>2118</v>
      </c>
      <c r="X55" s="35" t="str">
        <f t="shared" si="8"/>
        <v>prosty expando - N/A</v>
      </c>
      <c r="Y55" s="34"/>
      <c r="Z55" s="34"/>
    </row>
    <row r="56" spans="1:26" ht="15">
      <c r="A56" s="37" t="s">
        <v>1105</v>
      </c>
      <c r="B56" s="37" t="s">
        <v>57</v>
      </c>
      <c r="C56" s="37" t="str">
        <f>'Translate&amp;Prices&amp;Logo'!B557</f>
        <v>Wpuszczany</v>
      </c>
      <c r="D56" s="32" t="str">
        <f t="shared" si="0"/>
        <v>široký_STRONG_Vložený</v>
      </c>
      <c r="E56" s="37" t="str">
        <f>'Translate&amp;Prices&amp;Logo'!$B$584</f>
        <v>ze sprężyną z tłumieniem</v>
      </c>
      <c r="F56" s="34" t="str">
        <f>'Translate&amp;Prices&amp;Logo'!$B$587</f>
        <v>srebro</v>
      </c>
      <c r="G56" s="34" t="str">
        <f t="shared" si="10"/>
        <v>92582T - Wpuszczany ze sprężyną z tłumieniem - srebro</v>
      </c>
      <c r="H56" s="35" t="s">
        <v>1103</v>
      </c>
      <c r="I56" s="35" t="s">
        <v>61</v>
      </c>
      <c r="J56" s="35" t="s">
        <v>1103</v>
      </c>
      <c r="K56" s="35" t="s">
        <v>77</v>
      </c>
      <c r="L56" s="35" t="str">
        <f t="shared" si="2"/>
        <v>krzyżakowy, wkręt - 92592T</v>
      </c>
      <c r="M56" s="35">
        <v>397954</v>
      </c>
      <c r="N56" s="35" t="str">
        <f t="shared" si="3"/>
        <v>na wkręt (z mimośrodem) - 397954</v>
      </c>
      <c r="O56" s="35" t="s">
        <v>76</v>
      </c>
      <c r="P56" s="35" t="str">
        <f t="shared" si="4"/>
        <v>krzyżakowy eurowkręt - 92593T</v>
      </c>
      <c r="Q56" s="35" t="s">
        <v>2118</v>
      </c>
      <c r="R56" s="35" t="str">
        <f t="shared" si="5"/>
        <v>krzyżakowy expando - N/A</v>
      </c>
      <c r="S56" s="35" t="s">
        <v>2118</v>
      </c>
      <c r="T56" s="35" t="str">
        <f t="shared" si="6"/>
        <v>prosty wkręt - N/A</v>
      </c>
      <c r="U56" s="35" t="s">
        <v>2118</v>
      </c>
      <c r="V56" s="35" t="str">
        <f t="shared" si="7"/>
        <v>prosty eurowkręt - N/A</v>
      </c>
      <c r="W56" s="35" t="s">
        <v>2118</v>
      </c>
      <c r="X56" s="35" t="str">
        <f t="shared" si="8"/>
        <v>prosty expando - N/A</v>
      </c>
      <c r="Y56" s="34"/>
      <c r="Z56" s="34"/>
    </row>
    <row r="57" spans="1:26" ht="15">
      <c r="A57" s="37" t="s">
        <v>1105</v>
      </c>
      <c r="B57" s="37" t="s">
        <v>57</v>
      </c>
      <c r="C57" s="37" t="str">
        <f>'Translate&amp;Prices&amp;Logo'!B557</f>
        <v>Wpuszczany</v>
      </c>
      <c r="D57" s="32" t="str">
        <f t="shared" si="0"/>
        <v>široký_STRONG_Vložený</v>
      </c>
      <c r="E57" s="37" t="str">
        <f>'Translate&amp;Prices&amp;Logo'!$B$585</f>
        <v>ze sprężyną bez tłumienia</v>
      </c>
      <c r="F57" s="34" t="str">
        <f>'Translate&amp;Prices&amp;Logo'!$B$587</f>
        <v>srebro</v>
      </c>
      <c r="G57" s="34" t="str">
        <f t="shared" si="10"/>
        <v>198820 - Wpuszczany ze sprężyną bez tłumienia - srebro</v>
      </c>
      <c r="H57" s="35" t="s">
        <v>1103</v>
      </c>
      <c r="I57" s="35">
        <v>198820</v>
      </c>
      <c r="J57" s="35" t="s">
        <v>1103</v>
      </c>
      <c r="K57" s="35" t="s">
        <v>77</v>
      </c>
      <c r="L57" s="35" t="str">
        <f t="shared" si="2"/>
        <v>krzyżakowy, wkręt - 92592T</v>
      </c>
      <c r="M57" s="35">
        <v>397954</v>
      </c>
      <c r="N57" s="35" t="str">
        <f t="shared" si="3"/>
        <v>na wkręt (z mimośrodem) - 397954</v>
      </c>
      <c r="O57" s="35" t="s">
        <v>76</v>
      </c>
      <c r="P57" s="35" t="str">
        <f t="shared" si="4"/>
        <v>krzyżakowy eurowkręt - 92593T</v>
      </c>
      <c r="Q57" s="35" t="s">
        <v>2118</v>
      </c>
      <c r="R57" s="35" t="str">
        <f t="shared" si="5"/>
        <v>krzyżakowy expando - N/A</v>
      </c>
      <c r="S57" s="35" t="s">
        <v>2118</v>
      </c>
      <c r="T57" s="35" t="str">
        <f t="shared" si="6"/>
        <v>prosty wkręt - N/A</v>
      </c>
      <c r="U57" s="35" t="s">
        <v>2118</v>
      </c>
      <c r="V57" s="35" t="str">
        <f t="shared" si="7"/>
        <v>prosty eurowkręt - N/A</v>
      </c>
      <c r="W57" s="35" t="s">
        <v>2118</v>
      </c>
      <c r="X57" s="35" t="str">
        <f t="shared" si="8"/>
        <v>prosty expando - N/A</v>
      </c>
      <c r="Y57" s="34"/>
      <c r="Z57" s="34"/>
    </row>
    <row r="58" spans="1:26" ht="15">
      <c r="A58" s="34" t="s">
        <v>1105</v>
      </c>
      <c r="B58" s="34" t="s">
        <v>2348</v>
      </c>
      <c r="C58" s="34" t="str">
        <f>'Translate&amp;Prices&amp;Logo'!B555</f>
        <v>Nakładany</v>
      </c>
      <c r="D58" s="32" t="str">
        <f t="shared" si="0"/>
        <v>široký_STRONGHINGES_Naložený</v>
      </c>
      <c r="E58" s="34" t="str">
        <f>'Translate&amp;Prices&amp;Logo'!$B$584</f>
        <v>ze sprężyną z tłumieniem</v>
      </c>
      <c r="F58" s="34" t="str">
        <f>'Translate&amp;Prices&amp;Logo'!$B$587</f>
        <v>srebro</v>
      </c>
      <c r="G58" s="34" t="str">
        <f t="shared" si="10"/>
        <v>350827 - Nakładany ze sprężyną z tłumieniem - srebro</v>
      </c>
      <c r="H58" s="35" t="s">
        <v>1103</v>
      </c>
      <c r="I58" s="35">
        <v>350827</v>
      </c>
      <c r="J58" s="35" t="s">
        <v>1103</v>
      </c>
      <c r="K58" s="35">
        <v>92596</v>
      </c>
      <c r="L58" s="35" t="str">
        <f t="shared" si="2"/>
        <v>krzyżakowy, wkręt - 92596</v>
      </c>
      <c r="M58" s="35">
        <v>315856</v>
      </c>
      <c r="N58" s="35" t="str">
        <f t="shared" si="3"/>
        <v>na wkręt (z mimośrodem) - 315856</v>
      </c>
      <c r="O58" s="35">
        <v>92597</v>
      </c>
      <c r="P58" s="35" t="str">
        <f t="shared" si="4"/>
        <v>krzyżakowy eurowkręt - 92597</v>
      </c>
      <c r="Q58" s="35" t="s">
        <v>2118</v>
      </c>
      <c r="R58" s="35" t="str">
        <f t="shared" si="5"/>
        <v>krzyżakowy expando - N/A</v>
      </c>
      <c r="S58" s="35" t="s">
        <v>2118</v>
      </c>
      <c r="T58" s="35" t="str">
        <f t="shared" si="6"/>
        <v>prosty wkręt - N/A</v>
      </c>
      <c r="U58" s="35" t="s">
        <v>2118</v>
      </c>
      <c r="V58" s="35" t="str">
        <f t="shared" si="7"/>
        <v>prosty eurowkręt - N/A</v>
      </c>
      <c r="W58" s="35" t="s">
        <v>2118</v>
      </c>
      <c r="X58" s="35" t="str">
        <f t="shared" si="8"/>
        <v>prosty expando - N/A</v>
      </c>
      <c r="Y58" s="34"/>
      <c r="Z58" s="34"/>
    </row>
    <row r="59" spans="1:26" ht="15">
      <c r="A59" s="34" t="s">
        <v>1105</v>
      </c>
      <c r="B59" s="34" t="s">
        <v>2348</v>
      </c>
      <c r="C59" s="34" t="str">
        <f>'Translate&amp;Prices&amp;Logo'!B555</f>
        <v>Nakładany</v>
      </c>
      <c r="D59" s="32" t="str">
        <f t="shared" si="0"/>
        <v>široký_STRONGHINGES_Naložený</v>
      </c>
      <c r="E59" s="34" t="str">
        <f>'Translate&amp;Prices&amp;Logo'!$B$585</f>
        <v>ze sprężyną bez tłumienia</v>
      </c>
      <c r="F59" s="34" t="str">
        <f>'Translate&amp;Prices&amp;Logo'!$B$587</f>
        <v>srebro</v>
      </c>
      <c r="G59" s="34" t="str">
        <f t="shared" si="10"/>
        <v>350834 - Nakładany ze sprężyną bez tłumienia - srebro</v>
      </c>
      <c r="H59" s="35" t="s">
        <v>1103</v>
      </c>
      <c r="I59" s="35">
        <v>350834</v>
      </c>
      <c r="J59" s="35" t="s">
        <v>1103</v>
      </c>
      <c r="K59" s="35">
        <v>92596</v>
      </c>
      <c r="L59" s="35" t="str">
        <f t="shared" si="2"/>
        <v>krzyżakowy, wkręt - 92596</v>
      </c>
      <c r="M59" s="35">
        <v>315856</v>
      </c>
      <c r="N59" s="35" t="str">
        <f t="shared" si="3"/>
        <v>na wkręt (z mimośrodem) - 315856</v>
      </c>
      <c r="O59" s="35">
        <v>92597</v>
      </c>
      <c r="P59" s="35" t="str">
        <f t="shared" si="4"/>
        <v>krzyżakowy eurowkręt - 92597</v>
      </c>
      <c r="Q59" s="35" t="s">
        <v>2118</v>
      </c>
      <c r="R59" s="35" t="str">
        <f t="shared" si="5"/>
        <v>krzyżakowy expando - N/A</v>
      </c>
      <c r="S59" s="35" t="s">
        <v>2118</v>
      </c>
      <c r="T59" s="35" t="str">
        <f t="shared" si="6"/>
        <v>prosty wkręt - N/A</v>
      </c>
      <c r="U59" s="35" t="s">
        <v>2118</v>
      </c>
      <c r="V59" s="35" t="str">
        <f t="shared" si="7"/>
        <v>prosty eurowkręt - N/A</v>
      </c>
      <c r="W59" s="35" t="s">
        <v>2118</v>
      </c>
      <c r="X59" s="35" t="str">
        <f t="shared" si="8"/>
        <v>prosty expando - N/A</v>
      </c>
      <c r="Y59" s="34"/>
      <c r="Z59" s="34"/>
    </row>
    <row r="60" spans="1:26" ht="15">
      <c r="A60" s="34" t="s">
        <v>1105</v>
      </c>
      <c r="B60" s="34" t="s">
        <v>2348</v>
      </c>
      <c r="C60" s="34" t="str">
        <f>'Translate&amp;Prices&amp;Logo'!B555</f>
        <v>Nakładany</v>
      </c>
      <c r="D60" s="32" t="str">
        <f t="shared" si="0"/>
        <v>široký_STRONGHINGES_Naložený</v>
      </c>
      <c r="E60" s="34" t="str">
        <f>'Translate&amp;Prices&amp;Logo'!$B$586</f>
        <v>tip-on bez sprężyny/tłumienie</v>
      </c>
      <c r="F60" s="34" t="str">
        <f>'Translate&amp;Prices&amp;Logo'!$B$587</f>
        <v>srebro</v>
      </c>
      <c r="G60" s="34" t="str">
        <f t="shared" si="10"/>
        <v>350837 - Nakładany tip-on bez sprężyny/tłumienie - srebro</v>
      </c>
      <c r="H60" s="35" t="s">
        <v>1103</v>
      </c>
      <c r="I60" s="35">
        <v>350837</v>
      </c>
      <c r="J60" s="35" t="s">
        <v>1103</v>
      </c>
      <c r="K60" s="35">
        <v>92596</v>
      </c>
      <c r="L60" s="35" t="str">
        <f t="shared" si="2"/>
        <v>krzyżakowy, wkręt - 92596</v>
      </c>
      <c r="M60" s="35">
        <v>315856</v>
      </c>
      <c r="N60" s="35" t="str">
        <f t="shared" si="3"/>
        <v>na wkręt (z mimośrodem) - 315856</v>
      </c>
      <c r="O60" s="35">
        <v>92597</v>
      </c>
      <c r="P60" s="35" t="str">
        <f t="shared" si="4"/>
        <v>krzyżakowy eurowkręt - 92597</v>
      </c>
      <c r="Q60" s="35" t="s">
        <v>2118</v>
      </c>
      <c r="R60" s="35" t="str">
        <f t="shared" si="5"/>
        <v>krzyżakowy expando - N/A</v>
      </c>
      <c r="S60" s="35" t="s">
        <v>2118</v>
      </c>
      <c r="T60" s="35" t="str">
        <f t="shared" si="6"/>
        <v>prosty wkręt - N/A</v>
      </c>
      <c r="U60" s="35" t="s">
        <v>2118</v>
      </c>
      <c r="V60" s="35" t="str">
        <f t="shared" si="7"/>
        <v>prosty eurowkręt - N/A</v>
      </c>
      <c r="W60" s="35" t="s">
        <v>2118</v>
      </c>
      <c r="X60" s="35" t="str">
        <f t="shared" si="8"/>
        <v>prosty expando - N/A</v>
      </c>
      <c r="Y60" s="34"/>
      <c r="Z60" s="34"/>
    </row>
    <row r="61" spans="1:26" ht="15">
      <c r="A61" s="37" t="s">
        <v>1105</v>
      </c>
      <c r="B61" s="34" t="s">
        <v>2348</v>
      </c>
      <c r="C61" s="37" t="str">
        <f>'Translate&amp;Prices&amp;Logo'!B556</f>
        <v>Półnakładany</v>
      </c>
      <c r="D61" s="32" t="str">
        <f t="shared" si="0"/>
        <v>široký_STRONGHINGES_Polonaložený</v>
      </c>
      <c r="E61" s="37" t="str">
        <f>'Translate&amp;Prices&amp;Logo'!$B$584</f>
        <v>ze sprężyną z tłumieniem</v>
      </c>
      <c r="F61" s="34" t="str">
        <f>'Translate&amp;Prices&amp;Logo'!$B$587</f>
        <v>srebro</v>
      </c>
      <c r="G61" s="34" t="str">
        <f t="shared" si="10"/>
        <v>350828 - Półnakładany ze sprężyną z tłumieniem - srebro</v>
      </c>
      <c r="H61" s="35" t="s">
        <v>1103</v>
      </c>
      <c r="I61" s="35">
        <v>350828</v>
      </c>
      <c r="J61" s="35" t="s">
        <v>1103</v>
      </c>
      <c r="K61" s="35">
        <v>92596</v>
      </c>
      <c r="L61" s="35" t="str">
        <f t="shared" si="2"/>
        <v>krzyżakowy, wkręt - 92596</v>
      </c>
      <c r="M61" s="35">
        <v>315856</v>
      </c>
      <c r="N61" s="35" t="str">
        <f t="shared" si="3"/>
        <v>na wkręt (z mimośrodem) - 315856</v>
      </c>
      <c r="O61" s="35">
        <v>92597</v>
      </c>
      <c r="P61" s="35" t="str">
        <f t="shared" si="4"/>
        <v>krzyżakowy eurowkręt - 92597</v>
      </c>
      <c r="Q61" s="35" t="s">
        <v>2118</v>
      </c>
      <c r="R61" s="35" t="str">
        <f t="shared" si="5"/>
        <v>krzyżakowy expando - N/A</v>
      </c>
      <c r="S61" s="35" t="s">
        <v>2118</v>
      </c>
      <c r="T61" s="35" t="str">
        <f t="shared" si="6"/>
        <v>prosty wkręt - N/A</v>
      </c>
      <c r="U61" s="35" t="s">
        <v>2118</v>
      </c>
      <c r="V61" s="35" t="str">
        <f t="shared" si="7"/>
        <v>prosty eurowkręt - N/A</v>
      </c>
      <c r="W61" s="35" t="s">
        <v>2118</v>
      </c>
      <c r="X61" s="35" t="str">
        <f t="shared" si="8"/>
        <v>prosty expando - N/A</v>
      </c>
      <c r="Y61" s="34"/>
      <c r="Z61" s="34"/>
    </row>
    <row r="62" spans="1:26" ht="15">
      <c r="A62" s="37" t="s">
        <v>1105</v>
      </c>
      <c r="B62" s="34" t="s">
        <v>2348</v>
      </c>
      <c r="C62" s="37" t="str">
        <f>'Translate&amp;Prices&amp;Logo'!B556</f>
        <v>Półnakładany</v>
      </c>
      <c r="D62" s="32" t="str">
        <f t="shared" si="0"/>
        <v>široký_STRONGHINGES_Polonaložený</v>
      </c>
      <c r="E62" s="37" t="str">
        <f>'Translate&amp;Prices&amp;Logo'!$B$585</f>
        <v>ze sprężyną bez tłumienia</v>
      </c>
      <c r="F62" s="34" t="str">
        <f>'Translate&amp;Prices&amp;Logo'!$B$587</f>
        <v>srebro</v>
      </c>
      <c r="G62" s="34" t="str">
        <f t="shared" si="10"/>
        <v>350835 - Półnakładany ze sprężyną bez tłumienia - srebro</v>
      </c>
      <c r="H62" s="35" t="s">
        <v>1103</v>
      </c>
      <c r="I62" s="35">
        <v>350835</v>
      </c>
      <c r="J62" s="35" t="s">
        <v>1103</v>
      </c>
      <c r="K62" s="35">
        <v>92596</v>
      </c>
      <c r="L62" s="35" t="str">
        <f t="shared" si="2"/>
        <v>krzyżakowy, wkręt - 92596</v>
      </c>
      <c r="M62" s="35">
        <v>315856</v>
      </c>
      <c r="N62" s="35" t="str">
        <f t="shared" si="3"/>
        <v>na wkręt (z mimośrodem) - 315856</v>
      </c>
      <c r="O62" s="35">
        <v>92597</v>
      </c>
      <c r="P62" s="35" t="str">
        <f t="shared" si="4"/>
        <v>krzyżakowy eurowkręt - 92597</v>
      </c>
      <c r="Q62" s="35" t="s">
        <v>2118</v>
      </c>
      <c r="R62" s="35" t="str">
        <f t="shared" si="5"/>
        <v>krzyżakowy expando - N/A</v>
      </c>
      <c r="S62" s="35" t="s">
        <v>2118</v>
      </c>
      <c r="T62" s="35" t="str">
        <f t="shared" si="6"/>
        <v>prosty wkręt - N/A</v>
      </c>
      <c r="U62" s="35" t="s">
        <v>2118</v>
      </c>
      <c r="V62" s="35" t="str">
        <f t="shared" si="7"/>
        <v>prosty eurowkręt - N/A</v>
      </c>
      <c r="W62" s="35" t="s">
        <v>2118</v>
      </c>
      <c r="X62" s="35" t="str">
        <f t="shared" si="8"/>
        <v>prosty expando - N/A</v>
      </c>
      <c r="Y62" s="34"/>
      <c r="Z62" s="34"/>
    </row>
    <row r="63" spans="1:26" ht="15">
      <c r="A63" s="37" t="s">
        <v>1105</v>
      </c>
      <c r="B63" s="34" t="s">
        <v>2348</v>
      </c>
      <c r="C63" s="37" t="str">
        <f>'Translate&amp;Prices&amp;Logo'!B556</f>
        <v>Półnakładany</v>
      </c>
      <c r="D63" s="32" t="str">
        <f t="shared" si="0"/>
        <v>široký_STRONGHINGES_Polonaložený</v>
      </c>
      <c r="E63" s="37" t="str">
        <f>'Translate&amp;Prices&amp;Logo'!$B$586</f>
        <v>tip-on bez sprężyny/tłumienie</v>
      </c>
      <c r="F63" s="34" t="str">
        <f>'Translate&amp;Prices&amp;Logo'!$B$587</f>
        <v>srebro</v>
      </c>
      <c r="G63" s="34" t="str">
        <f t="shared" si="10"/>
        <v>350838 - Półnakładany tip-on bez sprężyny/tłumienie - srebro</v>
      </c>
      <c r="H63" s="35" t="s">
        <v>1103</v>
      </c>
      <c r="I63" s="35">
        <v>350838</v>
      </c>
      <c r="J63" s="35" t="s">
        <v>1103</v>
      </c>
      <c r="K63" s="35">
        <v>92596</v>
      </c>
      <c r="L63" s="35" t="str">
        <f t="shared" si="2"/>
        <v>krzyżakowy, wkręt - 92596</v>
      </c>
      <c r="M63" s="35">
        <v>315856</v>
      </c>
      <c r="N63" s="35" t="str">
        <f t="shared" si="3"/>
        <v>na wkręt (z mimośrodem) - 315856</v>
      </c>
      <c r="O63" s="35">
        <v>92597</v>
      </c>
      <c r="P63" s="35" t="str">
        <f t="shared" si="4"/>
        <v>krzyżakowy eurowkręt - 92597</v>
      </c>
      <c r="Q63" s="35" t="s">
        <v>2118</v>
      </c>
      <c r="R63" s="35" t="str">
        <f t="shared" si="5"/>
        <v>krzyżakowy expando - N/A</v>
      </c>
      <c r="S63" s="35" t="s">
        <v>2118</v>
      </c>
      <c r="T63" s="35" t="str">
        <f t="shared" si="6"/>
        <v>prosty wkręt - N/A</v>
      </c>
      <c r="U63" s="35" t="s">
        <v>2118</v>
      </c>
      <c r="V63" s="35" t="str">
        <f t="shared" si="7"/>
        <v>prosty eurowkręt - N/A</v>
      </c>
      <c r="W63" s="35" t="s">
        <v>2118</v>
      </c>
      <c r="X63" s="35" t="str">
        <f t="shared" si="8"/>
        <v>prosty expando - N/A</v>
      </c>
      <c r="Y63" s="34"/>
      <c r="Z63" s="34"/>
    </row>
    <row r="64" spans="1:26" ht="15">
      <c r="A64" s="34" t="s">
        <v>1105</v>
      </c>
      <c r="B64" s="34" t="s">
        <v>2348</v>
      </c>
      <c r="C64" s="34" t="str">
        <f>'Translate&amp;Prices&amp;Logo'!B557</f>
        <v>Wpuszczany</v>
      </c>
      <c r="D64" s="32" t="str">
        <f t="shared" si="0"/>
        <v>široký_STRONGHINGES_Vložený</v>
      </c>
      <c r="E64" s="34" t="str">
        <f>'Translate&amp;Prices&amp;Logo'!$B$584</f>
        <v>ze sprężyną z tłumieniem</v>
      </c>
      <c r="F64" s="34" t="str">
        <f>'Translate&amp;Prices&amp;Logo'!$B$587</f>
        <v>srebro</v>
      </c>
      <c r="G64" s="34" t="str">
        <f t="shared" si="10"/>
        <v>350829 - Wpuszczany ze sprężyną z tłumieniem - srebro</v>
      </c>
      <c r="H64" s="35" t="s">
        <v>1103</v>
      </c>
      <c r="I64" s="35">
        <v>350829</v>
      </c>
      <c r="J64" s="35" t="s">
        <v>1103</v>
      </c>
      <c r="K64" s="35">
        <v>92598</v>
      </c>
      <c r="L64" s="35" t="str">
        <f t="shared" si="2"/>
        <v>krzyżakowy, wkręt - 92598</v>
      </c>
      <c r="M64" s="35">
        <v>350868</v>
      </c>
      <c r="N64" s="35" t="str">
        <f t="shared" si="3"/>
        <v>na wkręt (z mimośrodem) - 350868</v>
      </c>
      <c r="O64" s="35">
        <v>92599</v>
      </c>
      <c r="P64" s="35" t="str">
        <f t="shared" si="4"/>
        <v>krzyżakowy eurowkręt - 92599</v>
      </c>
      <c r="Q64" s="35" t="s">
        <v>2118</v>
      </c>
      <c r="R64" s="35" t="str">
        <f t="shared" si="5"/>
        <v>krzyżakowy expando - N/A</v>
      </c>
      <c r="S64" s="35" t="s">
        <v>2118</v>
      </c>
      <c r="T64" s="35" t="str">
        <f t="shared" si="6"/>
        <v>prosty wkręt - N/A</v>
      </c>
      <c r="U64" s="35" t="s">
        <v>2118</v>
      </c>
      <c r="V64" s="35" t="str">
        <f t="shared" si="7"/>
        <v>prosty eurowkręt - N/A</v>
      </c>
      <c r="W64" s="35" t="s">
        <v>2118</v>
      </c>
      <c r="X64" s="35" t="str">
        <f t="shared" si="8"/>
        <v>prosty expando - N/A</v>
      </c>
      <c r="Y64" s="34"/>
      <c r="Z64" s="34"/>
    </row>
    <row r="65" spans="1:26" ht="15">
      <c r="A65" s="34" t="s">
        <v>1105</v>
      </c>
      <c r="B65" s="34" t="s">
        <v>2348</v>
      </c>
      <c r="C65" s="34" t="str">
        <f>'Translate&amp;Prices&amp;Logo'!B557</f>
        <v>Wpuszczany</v>
      </c>
      <c r="D65" s="32" t="str">
        <f t="shared" si="0"/>
        <v>široký_STRONGHINGES_Vložený</v>
      </c>
      <c r="E65" s="34" t="str">
        <f>'Translate&amp;Prices&amp;Logo'!$B$585</f>
        <v>ze sprężyną bez tłumienia</v>
      </c>
      <c r="F65" s="34" t="str">
        <f>'Translate&amp;Prices&amp;Logo'!$B$587</f>
        <v>srebro</v>
      </c>
      <c r="G65" s="34" t="str">
        <f t="shared" si="10"/>
        <v>350836 - Wpuszczany ze sprężyną bez tłumienia - srebro</v>
      </c>
      <c r="H65" s="35" t="s">
        <v>1103</v>
      </c>
      <c r="I65" s="35">
        <v>350836</v>
      </c>
      <c r="J65" s="35" t="s">
        <v>1103</v>
      </c>
      <c r="K65" s="35">
        <v>92598</v>
      </c>
      <c r="L65" s="35" t="str">
        <f t="shared" si="2"/>
        <v>krzyżakowy, wkręt - 92598</v>
      </c>
      <c r="M65" s="35">
        <v>350868</v>
      </c>
      <c r="N65" s="35" t="str">
        <f t="shared" si="3"/>
        <v>na wkręt (z mimośrodem) - 350868</v>
      </c>
      <c r="O65" s="35">
        <v>92599</v>
      </c>
      <c r="P65" s="35" t="str">
        <f t="shared" si="4"/>
        <v>krzyżakowy eurowkręt - 92599</v>
      </c>
      <c r="Q65" s="35" t="s">
        <v>2118</v>
      </c>
      <c r="R65" s="35" t="str">
        <f t="shared" si="5"/>
        <v>krzyżakowy expando - N/A</v>
      </c>
      <c r="S65" s="35" t="s">
        <v>2118</v>
      </c>
      <c r="T65" s="35" t="str">
        <f t="shared" si="6"/>
        <v>prosty wkręt - N/A</v>
      </c>
      <c r="U65" s="35" t="s">
        <v>2118</v>
      </c>
      <c r="V65" s="35" t="str">
        <f t="shared" si="7"/>
        <v>prosty eurowkręt - N/A</v>
      </c>
      <c r="W65" s="35" t="s">
        <v>2118</v>
      </c>
      <c r="X65" s="35" t="str">
        <f t="shared" si="8"/>
        <v>prosty expando - N/A</v>
      </c>
      <c r="Y65" s="34"/>
      <c r="Z65" s="34"/>
    </row>
    <row r="66" spans="1:26" ht="15">
      <c r="A66" s="34" t="s">
        <v>1105</v>
      </c>
      <c r="B66" s="34" t="s">
        <v>2348</v>
      </c>
      <c r="C66" s="34" t="str">
        <f>'Translate&amp;Prices&amp;Logo'!B557</f>
        <v>Wpuszczany</v>
      </c>
      <c r="D66" s="32" t="str">
        <f t="shared" si="0"/>
        <v>široký_STRONGHINGES_Vložený</v>
      </c>
      <c r="E66" s="34" t="str">
        <f>'Translate&amp;Prices&amp;Logo'!$B$586</f>
        <v>tip-on bez sprężyny/tłumienie</v>
      </c>
      <c r="F66" s="34" t="str">
        <f>'Translate&amp;Prices&amp;Logo'!$B$587</f>
        <v>srebro</v>
      </c>
      <c r="G66" s="34" t="str">
        <f t="shared" si="10"/>
        <v>350839 - Wpuszczany tip-on bez sprężyny/tłumienie - srebro</v>
      </c>
      <c r="H66" s="35" t="s">
        <v>1103</v>
      </c>
      <c r="I66" s="35">
        <v>350839</v>
      </c>
      <c r="J66" s="35" t="s">
        <v>1103</v>
      </c>
      <c r="K66" s="35">
        <v>92598</v>
      </c>
      <c r="L66" s="35" t="str">
        <f t="shared" si="2"/>
        <v>krzyżakowy, wkręt - 92598</v>
      </c>
      <c r="M66" s="35">
        <v>350868</v>
      </c>
      <c r="N66" s="35" t="str">
        <f t="shared" si="3"/>
        <v>na wkręt (z mimośrodem) - 350868</v>
      </c>
      <c r="O66" s="35">
        <v>92599</v>
      </c>
      <c r="P66" s="35" t="str">
        <f t="shared" si="4"/>
        <v>krzyżakowy eurowkręt - 92599</v>
      </c>
      <c r="Q66" s="35" t="s">
        <v>2118</v>
      </c>
      <c r="R66" s="35" t="str">
        <f t="shared" si="5"/>
        <v>krzyżakowy expando - N/A</v>
      </c>
      <c r="S66" s="35" t="s">
        <v>2118</v>
      </c>
      <c r="T66" s="35" t="str">
        <f t="shared" si="6"/>
        <v>prosty wkręt - N/A</v>
      </c>
      <c r="U66" s="35" t="s">
        <v>2118</v>
      </c>
      <c r="V66" s="35" t="str">
        <f t="shared" si="7"/>
        <v>prosty eurowkręt - N/A</v>
      </c>
      <c r="W66" s="35" t="s">
        <v>2118</v>
      </c>
      <c r="X66" s="35" t="str">
        <f t="shared" si="8"/>
        <v>prosty expando - N/A</v>
      </c>
      <c r="Y66" s="34"/>
      <c r="Z66" s="34"/>
    </row>
    <row r="67" spans="1:26" ht="15">
      <c r="X67" s="34"/>
      <c r="Y67" s="34"/>
      <c r="Z67" s="34"/>
    </row>
    <row r="69" spans="1:26" ht="16.350000000000001" customHeight="1">
      <c r="A69" s="37" t="s">
        <v>1163</v>
      </c>
      <c r="B69" s="37" t="s">
        <v>1163</v>
      </c>
      <c r="C69" s="34" t="s">
        <v>113</v>
      </c>
    </row>
    <row r="70" spans="1:26" ht="16.350000000000001" customHeight="1">
      <c r="A70" s="37" t="s">
        <v>1163</v>
      </c>
      <c r="B70" s="37" t="s">
        <v>1163</v>
      </c>
      <c r="C70" s="34" t="s">
        <v>113</v>
      </c>
    </row>
    <row r="71" spans="1:26" ht="16.350000000000001" customHeight="1">
      <c r="A71" s="37" t="s">
        <v>1163</v>
      </c>
      <c r="B71" s="37" t="s">
        <v>1163</v>
      </c>
      <c r="C71" s="34" t="s">
        <v>113</v>
      </c>
    </row>
    <row r="72" spans="1:26" ht="16.350000000000001" customHeight="1">
      <c r="A72" s="37" t="s">
        <v>1163</v>
      </c>
      <c r="B72" s="37" t="s">
        <v>1163</v>
      </c>
      <c r="C72" s="34" t="s">
        <v>113</v>
      </c>
    </row>
    <row r="73" spans="1:26" ht="16.350000000000001" customHeight="1">
      <c r="A73" s="37" t="s">
        <v>1164</v>
      </c>
      <c r="B73" s="37" t="s">
        <v>1164</v>
      </c>
      <c r="C73" s="34" t="s">
        <v>113</v>
      </c>
    </row>
    <row r="74" spans="1:26" ht="16.350000000000001" customHeight="1">
      <c r="A74" s="37" t="s">
        <v>1164</v>
      </c>
      <c r="B74" s="37" t="s">
        <v>1164</v>
      </c>
      <c r="C74" s="34" t="s">
        <v>113</v>
      </c>
    </row>
    <row r="75" spans="1:26" ht="16.350000000000001" customHeight="1">
      <c r="A75" s="37" t="s">
        <v>1165</v>
      </c>
      <c r="B75" s="37" t="s">
        <v>1165</v>
      </c>
      <c r="C75" s="34" t="s">
        <v>113</v>
      </c>
    </row>
    <row r="76" spans="1:26" ht="16.350000000000001" customHeight="1">
      <c r="A76" s="37" t="s">
        <v>1165</v>
      </c>
      <c r="B76" s="37" t="s">
        <v>1165</v>
      </c>
      <c r="C76" s="34" t="s">
        <v>113</v>
      </c>
    </row>
    <row r="77" spans="1:26" ht="16.350000000000001" customHeight="1">
      <c r="A77" s="37" t="s">
        <v>1166</v>
      </c>
      <c r="B77" s="37" t="s">
        <v>1166</v>
      </c>
      <c r="C77" s="34" t="s">
        <v>113</v>
      </c>
    </row>
    <row r="78" spans="1:26" ht="16.350000000000001" customHeight="1">
      <c r="A78" s="37" t="s">
        <v>1166</v>
      </c>
      <c r="B78" s="37" t="s">
        <v>1166</v>
      </c>
      <c r="C78" s="34" t="s">
        <v>113</v>
      </c>
    </row>
    <row r="79" spans="1:26" ht="16.350000000000001" customHeight="1">
      <c r="A79" s="37" t="s">
        <v>1166</v>
      </c>
      <c r="B79" s="37" t="s">
        <v>1166</v>
      </c>
      <c r="C79" s="34" t="s">
        <v>113</v>
      </c>
    </row>
    <row r="80" spans="1:26" ht="16.350000000000001" customHeight="1">
      <c r="A80" s="37" t="s">
        <v>1166</v>
      </c>
      <c r="B80" s="37" t="s">
        <v>1166</v>
      </c>
      <c r="C80" s="34" t="s">
        <v>113</v>
      </c>
    </row>
    <row r="81" spans="1:7" ht="16.350000000000001" customHeight="1">
      <c r="A81" s="37" t="s">
        <v>1167</v>
      </c>
      <c r="B81" s="37" t="s">
        <v>1167</v>
      </c>
      <c r="C81" s="34" t="s">
        <v>113</v>
      </c>
      <c r="G81" s="34" t="s">
        <v>2173</v>
      </c>
    </row>
    <row r="82" spans="1:7" ht="16.350000000000001" customHeight="1">
      <c r="A82" s="37" t="s">
        <v>1167</v>
      </c>
      <c r="B82" s="37" t="s">
        <v>1167</v>
      </c>
      <c r="C82" s="34" t="s">
        <v>113</v>
      </c>
    </row>
    <row r="83" spans="1:7" ht="16.350000000000001" customHeight="1">
      <c r="A83" s="37" t="s">
        <v>1167</v>
      </c>
      <c r="B83" s="37" t="s">
        <v>1167</v>
      </c>
      <c r="C83" s="34" t="s">
        <v>113</v>
      </c>
    </row>
    <row r="84" spans="1:7" ht="16.350000000000001" customHeight="1">
      <c r="A84" s="37" t="s">
        <v>1168</v>
      </c>
      <c r="B84" s="37" t="s">
        <v>1168</v>
      </c>
      <c r="C84" s="34" t="s">
        <v>113</v>
      </c>
    </row>
    <row r="85" spans="1:7" ht="16.350000000000001" customHeight="1">
      <c r="A85" s="37" t="s">
        <v>1168</v>
      </c>
      <c r="B85" s="37" t="s">
        <v>1168</v>
      </c>
      <c r="C85" s="34" t="s">
        <v>113</v>
      </c>
    </row>
    <row r="86" spans="1:7" ht="16.350000000000001" customHeight="1">
      <c r="A86" s="37" t="s">
        <v>1168</v>
      </c>
      <c r="B86" s="37" t="s">
        <v>1168</v>
      </c>
      <c r="C86" s="34" t="s">
        <v>113</v>
      </c>
    </row>
    <row r="87" spans="1:7" ht="16.350000000000001" customHeight="1">
      <c r="A87" s="37" t="s">
        <v>1169</v>
      </c>
      <c r="B87" s="37" t="s">
        <v>1169</v>
      </c>
      <c r="C87" s="34" t="s">
        <v>113</v>
      </c>
    </row>
    <row r="88" spans="1:7" ht="16.350000000000001" customHeight="1">
      <c r="A88" s="37" t="s">
        <v>2349</v>
      </c>
      <c r="B88" s="37" t="s">
        <v>2349</v>
      </c>
      <c r="C88" s="34" t="s">
        <v>113</v>
      </c>
    </row>
    <row r="89" spans="1:7" ht="16.350000000000001" customHeight="1">
      <c r="A89" s="37" t="s">
        <v>2349</v>
      </c>
      <c r="B89" s="37" t="s">
        <v>2349</v>
      </c>
      <c r="C89" s="34" t="s">
        <v>113</v>
      </c>
    </row>
    <row r="90" spans="1:7" ht="16.350000000000001" customHeight="1">
      <c r="A90" s="37" t="s">
        <v>1171</v>
      </c>
      <c r="B90" s="37" t="s">
        <v>1171</v>
      </c>
      <c r="C90" s="34" t="s">
        <v>113</v>
      </c>
    </row>
    <row r="91" spans="1:7" ht="16.350000000000001" customHeight="1">
      <c r="A91" s="37" t="s">
        <v>1171</v>
      </c>
      <c r="B91" s="37" t="s">
        <v>1171</v>
      </c>
      <c r="C91" s="34" t="s">
        <v>113</v>
      </c>
    </row>
    <row r="92" spans="1:7" ht="16.350000000000001" customHeight="1">
      <c r="A92" s="37" t="s">
        <v>1171</v>
      </c>
      <c r="B92" s="37" t="s">
        <v>1171</v>
      </c>
      <c r="C92" s="34" t="s">
        <v>113</v>
      </c>
    </row>
    <row r="93" spans="1:7" ht="16.350000000000001" customHeight="1">
      <c r="A93" s="37" t="s">
        <v>1171</v>
      </c>
      <c r="B93" s="37" t="s">
        <v>1171</v>
      </c>
      <c r="C93" s="34" t="s">
        <v>113</v>
      </c>
    </row>
    <row r="94" spans="1:7" ht="16.350000000000001" customHeight="1">
      <c r="A94" s="37" t="s">
        <v>1172</v>
      </c>
      <c r="B94" s="37" t="s">
        <v>1172</v>
      </c>
      <c r="C94" s="34" t="s">
        <v>113</v>
      </c>
    </row>
    <row r="95" spans="1:7" ht="16.350000000000001" customHeight="1">
      <c r="A95" s="37" t="s">
        <v>1172</v>
      </c>
      <c r="B95" s="37" t="s">
        <v>1172</v>
      </c>
      <c r="C95" s="34" t="s">
        <v>113</v>
      </c>
    </row>
    <row r="96" spans="1:7" ht="16.350000000000001" customHeight="1">
      <c r="A96" s="37" t="s">
        <v>1172</v>
      </c>
      <c r="B96" s="37" t="s">
        <v>1172</v>
      </c>
      <c r="C96" s="34" t="s">
        <v>113</v>
      </c>
    </row>
    <row r="97" spans="1:3" ht="16.350000000000001" customHeight="1">
      <c r="A97" s="37" t="s">
        <v>1172</v>
      </c>
      <c r="B97" s="37" t="s">
        <v>1172</v>
      </c>
      <c r="C97" s="34" t="s">
        <v>113</v>
      </c>
    </row>
    <row r="98" spans="1:3" ht="16.350000000000001" customHeight="1">
      <c r="A98" s="37" t="s">
        <v>1173</v>
      </c>
      <c r="B98" s="37" t="s">
        <v>1173</v>
      </c>
      <c r="C98" s="34" t="s">
        <v>113</v>
      </c>
    </row>
    <row r="99" spans="1:3" ht="16.350000000000001" customHeight="1">
      <c r="A99" s="37" t="s">
        <v>1173</v>
      </c>
      <c r="B99" s="37" t="s">
        <v>1173</v>
      </c>
      <c r="C99" s="34" t="s">
        <v>113</v>
      </c>
    </row>
    <row r="100" spans="1:3" ht="16.350000000000001" customHeight="1">
      <c r="A100" s="37" t="s">
        <v>1173</v>
      </c>
      <c r="B100" s="37" t="s">
        <v>1173</v>
      </c>
      <c r="C100" s="34" t="s">
        <v>113</v>
      </c>
    </row>
    <row r="101" spans="1:3" ht="16.350000000000001" customHeight="1">
      <c r="A101" s="37" t="s">
        <v>1173</v>
      </c>
      <c r="B101" s="37" t="s">
        <v>1173</v>
      </c>
      <c r="C101" s="34" t="s">
        <v>113</v>
      </c>
    </row>
    <row r="102" spans="1:3" ht="16.350000000000001" customHeight="1">
      <c r="A102" s="37" t="s">
        <v>1174</v>
      </c>
      <c r="B102" s="37" t="s">
        <v>1174</v>
      </c>
      <c r="C102" s="34" t="s">
        <v>113</v>
      </c>
    </row>
    <row r="103" spans="1:3" ht="16.350000000000001" customHeight="1">
      <c r="A103" s="37" t="s">
        <v>1174</v>
      </c>
      <c r="B103" s="37" t="s">
        <v>1174</v>
      </c>
      <c r="C103" s="34" t="s">
        <v>113</v>
      </c>
    </row>
    <row r="104" spans="1:3" ht="16.350000000000001" customHeight="1">
      <c r="A104" s="37" t="s">
        <v>1174</v>
      </c>
      <c r="B104" s="37" t="s">
        <v>1174</v>
      </c>
      <c r="C104" s="34" t="s">
        <v>113</v>
      </c>
    </row>
    <row r="105" spans="1:3" ht="16.350000000000001" customHeight="1">
      <c r="A105" s="37" t="s">
        <v>1174</v>
      </c>
      <c r="B105" s="37" t="s">
        <v>1174</v>
      </c>
      <c r="C105" s="34" t="s">
        <v>113</v>
      </c>
    </row>
    <row r="106" spans="1:3" ht="16.350000000000001" customHeight="1">
      <c r="A106" s="37" t="s">
        <v>1174</v>
      </c>
      <c r="B106" s="37" t="s">
        <v>1174</v>
      </c>
      <c r="C106" s="34" t="s">
        <v>113</v>
      </c>
    </row>
    <row r="107" spans="1:3" ht="16.350000000000001" customHeight="1">
      <c r="A107" s="37" t="s">
        <v>1175</v>
      </c>
      <c r="B107" s="37" t="s">
        <v>1175</v>
      </c>
      <c r="C107" s="34" t="s">
        <v>113</v>
      </c>
    </row>
    <row r="108" spans="1:3" ht="16.350000000000001" customHeight="1">
      <c r="A108" s="37" t="s">
        <v>1175</v>
      </c>
      <c r="B108" s="37" t="s">
        <v>1175</v>
      </c>
      <c r="C108" s="34" t="s">
        <v>113</v>
      </c>
    </row>
    <row r="109" spans="1:3" ht="16.350000000000001" customHeight="1">
      <c r="A109" s="37" t="s">
        <v>1175</v>
      </c>
      <c r="B109" s="37" t="s">
        <v>1175</v>
      </c>
      <c r="C109" s="34" t="s">
        <v>113</v>
      </c>
    </row>
    <row r="110" spans="1:3" ht="16.350000000000001" customHeight="1">
      <c r="A110" s="37" t="s">
        <v>1175</v>
      </c>
      <c r="B110" s="37" t="s">
        <v>1175</v>
      </c>
      <c r="C110" s="34" t="s">
        <v>113</v>
      </c>
    </row>
    <row r="111" spans="1:3" ht="16.350000000000001" customHeight="1">
      <c r="A111" s="37" t="s">
        <v>1175</v>
      </c>
      <c r="B111" s="37" t="s">
        <v>1175</v>
      </c>
      <c r="C111" s="34" t="s">
        <v>113</v>
      </c>
    </row>
    <row r="112" spans="1:3" ht="16.350000000000001" customHeight="1">
      <c r="A112" s="37" t="s">
        <v>1176</v>
      </c>
      <c r="B112" s="37" t="s">
        <v>1176</v>
      </c>
      <c r="C112" s="34" t="s">
        <v>113</v>
      </c>
    </row>
    <row r="113" spans="1:3" ht="16.350000000000001" customHeight="1">
      <c r="A113" s="37" t="s">
        <v>1176</v>
      </c>
      <c r="B113" s="37" t="s">
        <v>1176</v>
      </c>
      <c r="C113" s="34" t="s">
        <v>113</v>
      </c>
    </row>
    <row r="114" spans="1:3" ht="16.350000000000001" customHeight="1">
      <c r="A114" s="37" t="s">
        <v>1176</v>
      </c>
      <c r="B114" s="37" t="s">
        <v>1176</v>
      </c>
      <c r="C114" s="34" t="s">
        <v>113</v>
      </c>
    </row>
    <row r="115" spans="1:3" ht="16.350000000000001" customHeight="1">
      <c r="A115" s="37" t="s">
        <v>1176</v>
      </c>
      <c r="B115" s="37" t="s">
        <v>1176</v>
      </c>
      <c r="C115" s="34" t="s">
        <v>113</v>
      </c>
    </row>
    <row r="116" spans="1:3" ht="16.350000000000001" customHeight="1">
      <c r="A116" s="37" t="s">
        <v>1176</v>
      </c>
      <c r="B116" s="37" t="s">
        <v>1176</v>
      </c>
      <c r="C116" s="34" t="s">
        <v>113</v>
      </c>
    </row>
    <row r="117" spans="1:3" ht="16.350000000000001" customHeight="1">
      <c r="A117" s="37" t="s">
        <v>1177</v>
      </c>
      <c r="B117" s="37" t="s">
        <v>1177</v>
      </c>
      <c r="C117" s="34" t="s">
        <v>113</v>
      </c>
    </row>
    <row r="118" spans="1:3" ht="16.350000000000001" customHeight="1">
      <c r="A118" s="37" t="s">
        <v>1177</v>
      </c>
      <c r="B118" s="37" t="s">
        <v>1177</v>
      </c>
      <c r="C118" s="34" t="s">
        <v>113</v>
      </c>
    </row>
    <row r="119" spans="1:3" ht="16.350000000000001" customHeight="1">
      <c r="A119" s="37" t="s">
        <v>1178</v>
      </c>
      <c r="B119" s="37" t="s">
        <v>1178</v>
      </c>
      <c r="C119" s="34" t="s">
        <v>113</v>
      </c>
    </row>
    <row r="120" spans="1:3" ht="16.350000000000001" customHeight="1">
      <c r="A120" s="37" t="s">
        <v>1178</v>
      </c>
      <c r="B120" s="37" t="s">
        <v>1178</v>
      </c>
      <c r="C120" s="34" t="s">
        <v>113</v>
      </c>
    </row>
    <row r="121" spans="1:3" ht="16.350000000000001" customHeight="1">
      <c r="A121" s="37" t="s">
        <v>1179</v>
      </c>
      <c r="B121" s="37" t="s">
        <v>1179</v>
      </c>
      <c r="C121" s="34" t="s">
        <v>113</v>
      </c>
    </row>
    <row r="122" spans="1:3" ht="16.350000000000001" customHeight="1">
      <c r="A122" s="37" t="s">
        <v>1179</v>
      </c>
      <c r="B122" s="37" t="s">
        <v>1179</v>
      </c>
      <c r="C122" s="34" t="s">
        <v>113</v>
      </c>
    </row>
    <row r="123" spans="1:3" ht="16.350000000000001" customHeight="1">
      <c r="A123" s="37" t="s">
        <v>2350</v>
      </c>
      <c r="B123" s="37" t="s">
        <v>2350</v>
      </c>
      <c r="C123" s="34" t="s">
        <v>113</v>
      </c>
    </row>
    <row r="124" spans="1:3" ht="16.350000000000001" customHeight="1">
      <c r="A124" s="37" t="s">
        <v>2350</v>
      </c>
      <c r="B124" s="37" t="s">
        <v>2350</v>
      </c>
      <c r="C124" s="34" t="s">
        <v>113</v>
      </c>
    </row>
    <row r="125" spans="1:3" ht="16.350000000000001" customHeight="1">
      <c r="A125" s="37" t="s">
        <v>2350</v>
      </c>
      <c r="B125" s="37" t="s">
        <v>2350</v>
      </c>
      <c r="C125" s="34" t="s">
        <v>113</v>
      </c>
    </row>
    <row r="126" spans="1:3" ht="16.350000000000001" customHeight="1">
      <c r="A126" s="37" t="s">
        <v>2351</v>
      </c>
      <c r="B126" s="37" t="s">
        <v>2351</v>
      </c>
      <c r="C126" s="34" t="s">
        <v>113</v>
      </c>
    </row>
    <row r="127" spans="1:3" ht="16.350000000000001" customHeight="1">
      <c r="A127" s="37" t="s">
        <v>2351</v>
      </c>
      <c r="B127" s="37" t="s">
        <v>2351</v>
      </c>
      <c r="C127" s="34" t="s">
        <v>113</v>
      </c>
    </row>
    <row r="128" spans="1:3" ht="16.350000000000001" customHeight="1">
      <c r="A128" s="37" t="s">
        <v>2351</v>
      </c>
      <c r="B128" s="37" t="s">
        <v>2351</v>
      </c>
      <c r="C128" s="34" t="s">
        <v>113</v>
      </c>
    </row>
    <row r="129" spans="1:3" ht="16.350000000000001" customHeight="1">
      <c r="A129" s="37" t="s">
        <v>2352</v>
      </c>
      <c r="B129" s="37" t="s">
        <v>2352</v>
      </c>
      <c r="C129" s="34" t="s">
        <v>113</v>
      </c>
    </row>
    <row r="130" spans="1:3" ht="16.350000000000001" customHeight="1">
      <c r="A130" s="37" t="s">
        <v>2352</v>
      </c>
      <c r="B130" s="37" t="s">
        <v>2352</v>
      </c>
      <c r="C130" s="34" t="s">
        <v>113</v>
      </c>
    </row>
    <row r="131" spans="1:3" ht="16.350000000000001" customHeight="1">
      <c r="A131" s="37" t="s">
        <v>2352</v>
      </c>
      <c r="B131" s="37" t="s">
        <v>2352</v>
      </c>
      <c r="C131" s="34" t="s">
        <v>113</v>
      </c>
    </row>
    <row r="132" spans="1:3" ht="16.350000000000001" customHeight="1">
      <c r="A132" s="34" t="s">
        <v>1163</v>
      </c>
      <c r="B132" s="34" t="s">
        <v>1163</v>
      </c>
      <c r="C132" s="34" t="s">
        <v>114</v>
      </c>
    </row>
    <row r="133" spans="1:3" ht="16.350000000000001" customHeight="1">
      <c r="A133" s="34" t="s">
        <v>1163</v>
      </c>
      <c r="B133" s="34" t="s">
        <v>1163</v>
      </c>
      <c r="C133" s="34" t="s">
        <v>114</v>
      </c>
    </row>
    <row r="134" spans="1:3" ht="16.350000000000001" customHeight="1">
      <c r="A134" s="34" t="s">
        <v>1163</v>
      </c>
      <c r="B134" s="34" t="s">
        <v>1163</v>
      </c>
      <c r="C134" s="34" t="s">
        <v>114</v>
      </c>
    </row>
    <row r="135" spans="1:3" ht="16.350000000000001" customHeight="1">
      <c r="A135" s="34" t="s">
        <v>1163</v>
      </c>
      <c r="B135" s="34" t="s">
        <v>1163</v>
      </c>
      <c r="C135" s="34" t="s">
        <v>114</v>
      </c>
    </row>
    <row r="136" spans="1:3" ht="16.350000000000001" customHeight="1">
      <c r="A136" s="34" t="s">
        <v>1164</v>
      </c>
      <c r="B136" s="34" t="s">
        <v>1164</v>
      </c>
      <c r="C136" s="34" t="s">
        <v>114</v>
      </c>
    </row>
    <row r="137" spans="1:3" ht="16.350000000000001" customHeight="1">
      <c r="A137" s="34" t="s">
        <v>1164</v>
      </c>
      <c r="B137" s="34" t="s">
        <v>1164</v>
      </c>
      <c r="C137" s="34" t="s">
        <v>114</v>
      </c>
    </row>
    <row r="138" spans="1:3" ht="16.350000000000001" customHeight="1">
      <c r="A138" s="34" t="s">
        <v>1165</v>
      </c>
      <c r="B138" s="34" t="s">
        <v>1165</v>
      </c>
      <c r="C138" s="34" t="s">
        <v>114</v>
      </c>
    </row>
    <row r="139" spans="1:3" ht="16.350000000000001" customHeight="1">
      <c r="A139" s="34" t="s">
        <v>1165</v>
      </c>
      <c r="B139" s="34" t="s">
        <v>1165</v>
      </c>
      <c r="C139" s="34" t="s">
        <v>114</v>
      </c>
    </row>
    <row r="140" spans="1:3" ht="16.350000000000001" customHeight="1">
      <c r="A140" s="34" t="s">
        <v>1166</v>
      </c>
      <c r="B140" s="34" t="s">
        <v>1166</v>
      </c>
      <c r="C140" s="34" t="s">
        <v>114</v>
      </c>
    </row>
    <row r="141" spans="1:3" ht="16.350000000000001" customHeight="1">
      <c r="A141" s="34" t="s">
        <v>1166</v>
      </c>
      <c r="B141" s="34" t="s">
        <v>1166</v>
      </c>
      <c r="C141" s="34" t="s">
        <v>114</v>
      </c>
    </row>
    <row r="142" spans="1:3" ht="16.350000000000001" customHeight="1">
      <c r="A142" s="34" t="s">
        <v>1166</v>
      </c>
      <c r="B142" s="34" t="s">
        <v>1166</v>
      </c>
      <c r="C142" s="34" t="s">
        <v>114</v>
      </c>
    </row>
    <row r="143" spans="1:3" ht="16.350000000000001" customHeight="1">
      <c r="A143" s="34" t="s">
        <v>1166</v>
      </c>
      <c r="B143" s="34" t="s">
        <v>1166</v>
      </c>
      <c r="C143" s="34" t="s">
        <v>114</v>
      </c>
    </row>
    <row r="144" spans="1:3" ht="16.350000000000001" customHeight="1">
      <c r="A144" s="34" t="s">
        <v>1167</v>
      </c>
      <c r="B144" s="34" t="s">
        <v>1167</v>
      </c>
      <c r="C144" s="34" t="s">
        <v>114</v>
      </c>
    </row>
    <row r="145" spans="1:3" ht="16.350000000000001" customHeight="1">
      <c r="A145" s="34" t="s">
        <v>1167</v>
      </c>
      <c r="B145" s="34" t="s">
        <v>1167</v>
      </c>
      <c r="C145" s="34" t="s">
        <v>114</v>
      </c>
    </row>
    <row r="146" spans="1:3" ht="16.350000000000001" customHeight="1">
      <c r="A146" s="34" t="s">
        <v>1167</v>
      </c>
      <c r="B146" s="34" t="s">
        <v>1167</v>
      </c>
      <c r="C146" s="34" t="s">
        <v>114</v>
      </c>
    </row>
    <row r="147" spans="1:3" ht="16.350000000000001" customHeight="1">
      <c r="A147" s="34" t="s">
        <v>1168</v>
      </c>
      <c r="B147" s="34" t="s">
        <v>1168</v>
      </c>
      <c r="C147" s="34" t="s">
        <v>114</v>
      </c>
    </row>
    <row r="148" spans="1:3" ht="16.350000000000001" customHeight="1">
      <c r="A148" s="34" t="s">
        <v>1168</v>
      </c>
      <c r="B148" s="34" t="s">
        <v>1168</v>
      </c>
      <c r="C148" s="34" t="s">
        <v>114</v>
      </c>
    </row>
    <row r="149" spans="1:3" ht="16.350000000000001" customHeight="1">
      <c r="A149" s="34" t="s">
        <v>1168</v>
      </c>
      <c r="B149" s="34" t="s">
        <v>1168</v>
      </c>
      <c r="C149" s="34" t="s">
        <v>114</v>
      </c>
    </row>
    <row r="150" spans="1:3" ht="16.350000000000001" customHeight="1">
      <c r="A150" s="34" t="s">
        <v>1169</v>
      </c>
      <c r="B150" s="34" t="s">
        <v>1169</v>
      </c>
      <c r="C150" s="34" t="s">
        <v>114</v>
      </c>
    </row>
    <row r="151" spans="1:3" ht="16.350000000000001" customHeight="1">
      <c r="A151" s="34" t="s">
        <v>2349</v>
      </c>
      <c r="B151" s="34" t="s">
        <v>2349</v>
      </c>
      <c r="C151" s="34" t="s">
        <v>114</v>
      </c>
    </row>
    <row r="152" spans="1:3" ht="16.350000000000001" customHeight="1">
      <c r="A152" s="34" t="s">
        <v>2349</v>
      </c>
      <c r="B152" s="34" t="s">
        <v>2349</v>
      </c>
      <c r="C152" s="34" t="s">
        <v>114</v>
      </c>
    </row>
    <row r="153" spans="1:3" ht="16.350000000000001" customHeight="1">
      <c r="A153" s="34" t="s">
        <v>1171</v>
      </c>
      <c r="B153" s="34" t="s">
        <v>1171</v>
      </c>
      <c r="C153" s="34" t="s">
        <v>114</v>
      </c>
    </row>
    <row r="154" spans="1:3" ht="16.350000000000001" customHeight="1">
      <c r="A154" s="34" t="s">
        <v>1171</v>
      </c>
      <c r="B154" s="34" t="s">
        <v>1171</v>
      </c>
      <c r="C154" s="34" t="s">
        <v>114</v>
      </c>
    </row>
    <row r="155" spans="1:3" ht="16.350000000000001" customHeight="1">
      <c r="A155" s="34" t="s">
        <v>1171</v>
      </c>
      <c r="B155" s="34" t="s">
        <v>1171</v>
      </c>
      <c r="C155" s="34" t="s">
        <v>114</v>
      </c>
    </row>
    <row r="156" spans="1:3" ht="16.350000000000001" customHeight="1">
      <c r="A156" s="34" t="s">
        <v>1171</v>
      </c>
      <c r="B156" s="34" t="s">
        <v>1171</v>
      </c>
      <c r="C156" s="34" t="s">
        <v>114</v>
      </c>
    </row>
    <row r="157" spans="1:3" ht="16.350000000000001" customHeight="1">
      <c r="A157" s="34" t="s">
        <v>1172</v>
      </c>
      <c r="B157" s="34" t="s">
        <v>1172</v>
      </c>
      <c r="C157" s="34" t="s">
        <v>114</v>
      </c>
    </row>
    <row r="158" spans="1:3" ht="16.350000000000001" customHeight="1">
      <c r="A158" s="34" t="s">
        <v>1172</v>
      </c>
      <c r="B158" s="34" t="s">
        <v>1172</v>
      </c>
      <c r="C158" s="34" t="s">
        <v>114</v>
      </c>
    </row>
    <row r="159" spans="1:3" ht="16.350000000000001" customHeight="1">
      <c r="A159" s="34" t="s">
        <v>1172</v>
      </c>
      <c r="B159" s="34" t="s">
        <v>1172</v>
      </c>
      <c r="C159" s="34" t="s">
        <v>114</v>
      </c>
    </row>
    <row r="160" spans="1:3" ht="16.350000000000001" customHeight="1">
      <c r="A160" s="34" t="s">
        <v>1172</v>
      </c>
      <c r="B160" s="34" t="s">
        <v>1172</v>
      </c>
      <c r="C160" s="34" t="s">
        <v>114</v>
      </c>
    </row>
    <row r="161" spans="1:3" ht="16.350000000000001" customHeight="1">
      <c r="A161" s="34" t="s">
        <v>1173</v>
      </c>
      <c r="B161" s="34" t="s">
        <v>1173</v>
      </c>
      <c r="C161" s="34" t="s">
        <v>114</v>
      </c>
    </row>
    <row r="162" spans="1:3" ht="16.350000000000001" customHeight="1">
      <c r="A162" s="34" t="s">
        <v>1173</v>
      </c>
      <c r="B162" s="34" t="s">
        <v>1173</v>
      </c>
      <c r="C162" s="34" t="s">
        <v>114</v>
      </c>
    </row>
    <row r="163" spans="1:3" ht="16.350000000000001" customHeight="1">
      <c r="A163" s="34" t="s">
        <v>1173</v>
      </c>
      <c r="B163" s="34" t="s">
        <v>1173</v>
      </c>
      <c r="C163" s="34" t="s">
        <v>114</v>
      </c>
    </row>
    <row r="164" spans="1:3" ht="16.350000000000001" customHeight="1">
      <c r="A164" s="34" t="s">
        <v>1173</v>
      </c>
      <c r="B164" s="34" t="s">
        <v>1173</v>
      </c>
      <c r="C164" s="34" t="s">
        <v>114</v>
      </c>
    </row>
    <row r="165" spans="1:3" ht="16.350000000000001" customHeight="1">
      <c r="A165" s="34" t="s">
        <v>1174</v>
      </c>
      <c r="B165" s="34" t="s">
        <v>1174</v>
      </c>
      <c r="C165" s="34" t="s">
        <v>114</v>
      </c>
    </row>
    <row r="166" spans="1:3" ht="16.350000000000001" customHeight="1">
      <c r="A166" s="34" t="s">
        <v>1174</v>
      </c>
      <c r="B166" s="34" t="s">
        <v>1174</v>
      </c>
      <c r="C166" s="34" t="s">
        <v>114</v>
      </c>
    </row>
    <row r="167" spans="1:3" ht="16.350000000000001" customHeight="1">
      <c r="A167" s="34" t="s">
        <v>1174</v>
      </c>
      <c r="B167" s="34" t="s">
        <v>1174</v>
      </c>
      <c r="C167" s="34" t="s">
        <v>114</v>
      </c>
    </row>
    <row r="168" spans="1:3" ht="16.350000000000001" customHeight="1">
      <c r="A168" s="34" t="s">
        <v>1174</v>
      </c>
      <c r="B168" s="34" t="s">
        <v>1174</v>
      </c>
      <c r="C168" s="34" t="s">
        <v>114</v>
      </c>
    </row>
    <row r="169" spans="1:3" ht="16.350000000000001" customHeight="1">
      <c r="A169" s="34" t="s">
        <v>1174</v>
      </c>
      <c r="B169" s="34" t="s">
        <v>1174</v>
      </c>
      <c r="C169" s="34" t="s">
        <v>114</v>
      </c>
    </row>
    <row r="170" spans="1:3" ht="16.350000000000001" customHeight="1">
      <c r="A170" s="34" t="s">
        <v>1175</v>
      </c>
      <c r="B170" s="34" t="s">
        <v>1175</v>
      </c>
      <c r="C170" s="34" t="s">
        <v>114</v>
      </c>
    </row>
    <row r="171" spans="1:3" ht="16.350000000000001" customHeight="1">
      <c r="A171" s="34" t="s">
        <v>1175</v>
      </c>
      <c r="B171" s="34" t="s">
        <v>1175</v>
      </c>
      <c r="C171" s="34" t="s">
        <v>114</v>
      </c>
    </row>
    <row r="172" spans="1:3" ht="16.350000000000001" customHeight="1">
      <c r="A172" s="34" t="s">
        <v>1175</v>
      </c>
      <c r="B172" s="34" t="s">
        <v>1175</v>
      </c>
      <c r="C172" s="34" t="s">
        <v>114</v>
      </c>
    </row>
    <row r="173" spans="1:3" ht="16.350000000000001" customHeight="1">
      <c r="A173" s="34" t="s">
        <v>1175</v>
      </c>
      <c r="B173" s="34" t="s">
        <v>1175</v>
      </c>
      <c r="C173" s="34" t="s">
        <v>114</v>
      </c>
    </row>
    <row r="174" spans="1:3" ht="16.350000000000001" customHeight="1">
      <c r="A174" s="34" t="s">
        <v>1175</v>
      </c>
      <c r="B174" s="34" t="s">
        <v>1175</v>
      </c>
      <c r="C174" s="34" t="s">
        <v>114</v>
      </c>
    </row>
    <row r="175" spans="1:3" ht="16.350000000000001" customHeight="1">
      <c r="A175" s="34" t="s">
        <v>1176</v>
      </c>
      <c r="B175" s="34" t="s">
        <v>1176</v>
      </c>
      <c r="C175" s="34" t="s">
        <v>114</v>
      </c>
    </row>
    <row r="176" spans="1:3" ht="16.350000000000001" customHeight="1">
      <c r="A176" s="34" t="s">
        <v>1176</v>
      </c>
      <c r="B176" s="34" t="s">
        <v>1176</v>
      </c>
      <c r="C176" s="34" t="s">
        <v>114</v>
      </c>
    </row>
    <row r="177" spans="1:3" ht="16.350000000000001" customHeight="1">
      <c r="A177" s="34" t="s">
        <v>1176</v>
      </c>
      <c r="B177" s="34" t="s">
        <v>1176</v>
      </c>
      <c r="C177" s="34" t="s">
        <v>114</v>
      </c>
    </row>
    <row r="178" spans="1:3" ht="16.350000000000001" customHeight="1">
      <c r="A178" s="34" t="s">
        <v>1176</v>
      </c>
      <c r="B178" s="34" t="s">
        <v>1176</v>
      </c>
      <c r="C178" s="34" t="s">
        <v>114</v>
      </c>
    </row>
    <row r="179" spans="1:3" ht="16.350000000000001" customHeight="1">
      <c r="A179" s="34" t="s">
        <v>1176</v>
      </c>
      <c r="B179" s="34" t="s">
        <v>1176</v>
      </c>
      <c r="C179" s="34" t="s">
        <v>114</v>
      </c>
    </row>
    <row r="180" spans="1:3" ht="16.350000000000001" customHeight="1">
      <c r="A180" s="34" t="s">
        <v>1177</v>
      </c>
      <c r="B180" s="34" t="s">
        <v>1177</v>
      </c>
      <c r="C180" s="34" t="s">
        <v>114</v>
      </c>
    </row>
    <row r="181" spans="1:3" ht="16.350000000000001" customHeight="1">
      <c r="A181" s="34" t="s">
        <v>1177</v>
      </c>
      <c r="B181" s="34" t="s">
        <v>1177</v>
      </c>
      <c r="C181" s="34" t="s">
        <v>114</v>
      </c>
    </row>
    <row r="182" spans="1:3" ht="16.350000000000001" customHeight="1">
      <c r="A182" s="34" t="s">
        <v>1178</v>
      </c>
      <c r="B182" s="34" t="s">
        <v>1178</v>
      </c>
      <c r="C182" s="34" t="s">
        <v>114</v>
      </c>
    </row>
    <row r="183" spans="1:3" ht="16.350000000000001" customHeight="1">
      <c r="A183" s="34" t="s">
        <v>1178</v>
      </c>
      <c r="B183" s="34" t="s">
        <v>1178</v>
      </c>
      <c r="C183" s="34" t="s">
        <v>114</v>
      </c>
    </row>
    <row r="184" spans="1:3" ht="16.350000000000001" customHeight="1">
      <c r="A184" s="34" t="s">
        <v>1179</v>
      </c>
      <c r="B184" s="34" t="s">
        <v>1179</v>
      </c>
      <c r="C184" s="34" t="s">
        <v>114</v>
      </c>
    </row>
    <row r="185" spans="1:3" ht="16.350000000000001" customHeight="1">
      <c r="A185" s="34" t="s">
        <v>1179</v>
      </c>
      <c r="B185" s="34" t="s">
        <v>1179</v>
      </c>
      <c r="C185" s="34" t="s">
        <v>114</v>
      </c>
    </row>
    <row r="186" spans="1:3" ht="16.350000000000001" customHeight="1">
      <c r="A186" s="34" t="s">
        <v>2350</v>
      </c>
      <c r="B186" s="34" t="s">
        <v>2350</v>
      </c>
      <c r="C186" s="34" t="s">
        <v>114</v>
      </c>
    </row>
    <row r="187" spans="1:3" ht="16.350000000000001" customHeight="1">
      <c r="A187" s="34" t="s">
        <v>2350</v>
      </c>
      <c r="B187" s="34" t="s">
        <v>2350</v>
      </c>
      <c r="C187" s="34" t="s">
        <v>114</v>
      </c>
    </row>
    <row r="188" spans="1:3" ht="16.350000000000001" customHeight="1">
      <c r="A188" s="34" t="s">
        <v>2350</v>
      </c>
      <c r="B188" s="34" t="s">
        <v>2350</v>
      </c>
      <c r="C188" s="34" t="s">
        <v>114</v>
      </c>
    </row>
    <row r="189" spans="1:3" ht="16.350000000000001" customHeight="1">
      <c r="A189" s="34" t="s">
        <v>2351</v>
      </c>
      <c r="B189" s="34" t="s">
        <v>2351</v>
      </c>
      <c r="C189" s="34" t="s">
        <v>114</v>
      </c>
    </row>
    <row r="190" spans="1:3" ht="16.350000000000001" customHeight="1">
      <c r="A190" s="34" t="s">
        <v>2351</v>
      </c>
      <c r="B190" s="34" t="s">
        <v>2351</v>
      </c>
      <c r="C190" s="34" t="s">
        <v>114</v>
      </c>
    </row>
    <row r="191" spans="1:3" ht="16.350000000000001" customHeight="1">
      <c r="A191" s="34" t="s">
        <v>2351</v>
      </c>
      <c r="B191" s="34" t="s">
        <v>2351</v>
      </c>
      <c r="C191" s="34" t="s">
        <v>114</v>
      </c>
    </row>
    <row r="192" spans="1:3" ht="16.350000000000001" customHeight="1">
      <c r="A192" s="34" t="s">
        <v>2352</v>
      </c>
      <c r="B192" s="34" t="s">
        <v>2352</v>
      </c>
      <c r="C192" s="34" t="s">
        <v>114</v>
      </c>
    </row>
    <row r="193" spans="1:3" ht="16.350000000000001" customHeight="1">
      <c r="A193" s="34" t="s">
        <v>2352</v>
      </c>
      <c r="B193" s="34" t="s">
        <v>2352</v>
      </c>
      <c r="C193" s="34" t="s">
        <v>114</v>
      </c>
    </row>
    <row r="194" spans="1:3" ht="16.350000000000001" customHeight="1">
      <c r="A194" s="34" t="s">
        <v>2352</v>
      </c>
      <c r="B194" s="34" t="s">
        <v>2352</v>
      </c>
      <c r="C194" s="34" t="s">
        <v>114</v>
      </c>
    </row>
    <row r="195" spans="1:3" ht="16.350000000000001" customHeight="1">
      <c r="A195" s="37" t="s">
        <v>1146</v>
      </c>
      <c r="B195" s="34" t="s">
        <v>1163</v>
      </c>
      <c r="C195" s="34" t="s">
        <v>74</v>
      </c>
    </row>
    <row r="196" spans="1:3" ht="16.350000000000001" customHeight="1">
      <c r="A196" s="37" t="s">
        <v>1146</v>
      </c>
      <c r="B196" s="34" t="s">
        <v>1163</v>
      </c>
      <c r="C196" s="34" t="s">
        <v>74</v>
      </c>
    </row>
    <row r="197" spans="1:3" ht="16.350000000000001" customHeight="1">
      <c r="A197" s="37" t="s">
        <v>1146</v>
      </c>
      <c r="B197" s="34" t="s">
        <v>1163</v>
      </c>
      <c r="C197" s="34" t="s">
        <v>74</v>
      </c>
    </row>
    <row r="198" spans="1:3" ht="16.350000000000001" customHeight="1">
      <c r="A198" s="37" t="s">
        <v>1146</v>
      </c>
      <c r="B198" s="34" t="s">
        <v>1163</v>
      </c>
      <c r="C198" s="34" t="s">
        <v>74</v>
      </c>
    </row>
    <row r="199" spans="1:3" ht="16.350000000000001" customHeight="1">
      <c r="A199" s="37" t="s">
        <v>1147</v>
      </c>
      <c r="B199" s="34" t="s">
        <v>1164</v>
      </c>
      <c r="C199" s="34" t="s">
        <v>74</v>
      </c>
    </row>
    <row r="200" spans="1:3" ht="16.350000000000001" customHeight="1">
      <c r="A200" s="37" t="s">
        <v>1147</v>
      </c>
      <c r="B200" s="34" t="s">
        <v>1164</v>
      </c>
      <c r="C200" s="34" t="s">
        <v>74</v>
      </c>
    </row>
    <row r="201" spans="1:3" ht="16.350000000000001" customHeight="1">
      <c r="A201" s="37" t="s">
        <v>1148</v>
      </c>
      <c r="B201" s="34" t="s">
        <v>1165</v>
      </c>
      <c r="C201" s="34" t="s">
        <v>74</v>
      </c>
    </row>
    <row r="202" spans="1:3" ht="16.350000000000001" customHeight="1">
      <c r="A202" s="37" t="s">
        <v>1148</v>
      </c>
      <c r="B202" s="34" t="s">
        <v>1165</v>
      </c>
      <c r="C202" s="34" t="s">
        <v>74</v>
      </c>
    </row>
    <row r="203" spans="1:3" ht="16.350000000000001" customHeight="1">
      <c r="A203" s="37" t="s">
        <v>1149</v>
      </c>
      <c r="B203" s="34" t="s">
        <v>1166</v>
      </c>
      <c r="C203" s="34" t="s">
        <v>74</v>
      </c>
    </row>
    <row r="204" spans="1:3" ht="16.350000000000001" customHeight="1">
      <c r="A204" s="37" t="s">
        <v>1149</v>
      </c>
      <c r="B204" s="34" t="s">
        <v>1166</v>
      </c>
      <c r="C204" s="34" t="s">
        <v>74</v>
      </c>
    </row>
    <row r="205" spans="1:3" ht="16.350000000000001" customHeight="1">
      <c r="A205" s="37" t="s">
        <v>1149</v>
      </c>
      <c r="B205" s="34" t="s">
        <v>1166</v>
      </c>
      <c r="C205" s="34" t="s">
        <v>74</v>
      </c>
    </row>
    <row r="206" spans="1:3" ht="16.350000000000001" customHeight="1">
      <c r="A206" s="37" t="s">
        <v>1149</v>
      </c>
      <c r="B206" s="34" t="s">
        <v>1166</v>
      </c>
      <c r="C206" s="34" t="s">
        <v>74</v>
      </c>
    </row>
    <row r="207" spans="1:3" ht="16.350000000000001" customHeight="1">
      <c r="A207" s="37" t="s">
        <v>1150</v>
      </c>
      <c r="B207" s="34" t="s">
        <v>1167</v>
      </c>
      <c r="C207" s="34" t="s">
        <v>74</v>
      </c>
    </row>
    <row r="208" spans="1:3" ht="16.350000000000001" customHeight="1">
      <c r="A208" s="37" t="s">
        <v>1150</v>
      </c>
      <c r="B208" s="34" t="s">
        <v>1167</v>
      </c>
      <c r="C208" s="34" t="s">
        <v>74</v>
      </c>
    </row>
    <row r="209" spans="1:3" ht="16.350000000000001" customHeight="1">
      <c r="A209" s="37" t="s">
        <v>1150</v>
      </c>
      <c r="B209" s="34" t="s">
        <v>1167</v>
      </c>
      <c r="C209" s="34" t="s">
        <v>74</v>
      </c>
    </row>
    <row r="210" spans="1:3" ht="16.350000000000001" customHeight="1">
      <c r="A210" s="37" t="s">
        <v>1151</v>
      </c>
      <c r="B210" s="34" t="s">
        <v>1168</v>
      </c>
      <c r="C210" s="34" t="s">
        <v>74</v>
      </c>
    </row>
    <row r="211" spans="1:3" ht="16.350000000000001" customHeight="1">
      <c r="A211" s="37" t="s">
        <v>1151</v>
      </c>
      <c r="B211" s="34" t="s">
        <v>1168</v>
      </c>
      <c r="C211" s="34" t="s">
        <v>74</v>
      </c>
    </row>
    <row r="212" spans="1:3" ht="16.350000000000001" customHeight="1">
      <c r="A212" s="37" t="s">
        <v>1151</v>
      </c>
      <c r="B212" s="34" t="s">
        <v>1168</v>
      </c>
      <c r="C212" s="34" t="s">
        <v>74</v>
      </c>
    </row>
    <row r="213" spans="1:3" ht="16.350000000000001" customHeight="1">
      <c r="A213" s="37" t="s">
        <v>1152</v>
      </c>
      <c r="B213" s="34" t="s">
        <v>1169</v>
      </c>
      <c r="C213" s="34" t="s">
        <v>74</v>
      </c>
    </row>
    <row r="214" spans="1:3" ht="16.350000000000001" customHeight="1">
      <c r="A214" s="37" t="s">
        <v>1153</v>
      </c>
      <c r="B214" s="34" t="s">
        <v>1170</v>
      </c>
      <c r="C214" s="34" t="s">
        <v>74</v>
      </c>
    </row>
    <row r="215" spans="1:3" ht="16.350000000000001" customHeight="1">
      <c r="A215" s="37" t="s">
        <v>1153</v>
      </c>
      <c r="B215" s="34" t="s">
        <v>1170</v>
      </c>
      <c r="C215" s="34" t="s">
        <v>74</v>
      </c>
    </row>
    <row r="216" spans="1:3" ht="16.350000000000001" customHeight="1">
      <c r="A216" s="37" t="s">
        <v>1154</v>
      </c>
      <c r="B216" s="34" t="s">
        <v>1171</v>
      </c>
      <c r="C216" s="34" t="s">
        <v>74</v>
      </c>
    </row>
    <row r="217" spans="1:3" ht="16.350000000000001" customHeight="1">
      <c r="A217" s="37" t="s">
        <v>1154</v>
      </c>
      <c r="B217" s="34" t="s">
        <v>1171</v>
      </c>
      <c r="C217" s="34" t="s">
        <v>74</v>
      </c>
    </row>
    <row r="218" spans="1:3" ht="16.350000000000001" customHeight="1">
      <c r="A218" s="37" t="s">
        <v>1154</v>
      </c>
      <c r="B218" s="34" t="s">
        <v>1171</v>
      </c>
      <c r="C218" s="34" t="s">
        <v>74</v>
      </c>
    </row>
    <row r="219" spans="1:3" ht="16.350000000000001" customHeight="1">
      <c r="A219" s="37" t="s">
        <v>1154</v>
      </c>
      <c r="B219" s="34" t="s">
        <v>1171</v>
      </c>
      <c r="C219" s="34" t="s">
        <v>74</v>
      </c>
    </row>
    <row r="220" spans="1:3" ht="16.350000000000001" customHeight="1">
      <c r="A220" s="37" t="s">
        <v>1155</v>
      </c>
      <c r="B220" s="34" t="s">
        <v>1172</v>
      </c>
      <c r="C220" s="34" t="s">
        <v>74</v>
      </c>
    </row>
    <row r="221" spans="1:3" ht="16.350000000000001" customHeight="1">
      <c r="A221" s="37" t="s">
        <v>1155</v>
      </c>
      <c r="B221" s="34" t="s">
        <v>1172</v>
      </c>
      <c r="C221" s="34" t="s">
        <v>74</v>
      </c>
    </row>
    <row r="222" spans="1:3" ht="16.350000000000001" customHeight="1">
      <c r="A222" s="37" t="s">
        <v>1155</v>
      </c>
      <c r="B222" s="34" t="s">
        <v>1172</v>
      </c>
      <c r="C222" s="34" t="s">
        <v>74</v>
      </c>
    </row>
    <row r="223" spans="1:3" ht="16.350000000000001" customHeight="1">
      <c r="A223" s="37" t="s">
        <v>1155</v>
      </c>
      <c r="B223" s="34" t="s">
        <v>1172</v>
      </c>
      <c r="C223" s="34" t="s">
        <v>74</v>
      </c>
    </row>
    <row r="224" spans="1:3" ht="16.350000000000001" customHeight="1">
      <c r="A224" s="37" t="s">
        <v>1156</v>
      </c>
      <c r="B224" s="34" t="s">
        <v>1173</v>
      </c>
      <c r="C224" s="34" t="s">
        <v>74</v>
      </c>
    </row>
    <row r="225" spans="1:3" ht="16.350000000000001" customHeight="1">
      <c r="A225" s="37" t="s">
        <v>1156</v>
      </c>
      <c r="B225" s="34" t="s">
        <v>1173</v>
      </c>
      <c r="C225" s="34" t="s">
        <v>74</v>
      </c>
    </row>
    <row r="226" spans="1:3" ht="16.350000000000001" customHeight="1">
      <c r="A226" s="37" t="s">
        <v>1156</v>
      </c>
      <c r="B226" s="34" t="s">
        <v>1173</v>
      </c>
      <c r="C226" s="34" t="s">
        <v>74</v>
      </c>
    </row>
    <row r="227" spans="1:3" ht="16.350000000000001" customHeight="1">
      <c r="A227" s="37" t="s">
        <v>1156</v>
      </c>
      <c r="B227" s="34" t="s">
        <v>1173</v>
      </c>
      <c r="C227" s="34" t="s">
        <v>74</v>
      </c>
    </row>
    <row r="228" spans="1:3" ht="16.350000000000001" customHeight="1">
      <c r="A228" s="37" t="s">
        <v>1157</v>
      </c>
      <c r="B228" s="34" t="s">
        <v>1174</v>
      </c>
      <c r="C228" s="34" t="s">
        <v>74</v>
      </c>
    </row>
    <row r="229" spans="1:3" ht="16.350000000000001" customHeight="1">
      <c r="A229" s="37" t="s">
        <v>1157</v>
      </c>
      <c r="B229" s="34" t="s">
        <v>1174</v>
      </c>
      <c r="C229" s="34" t="s">
        <v>74</v>
      </c>
    </row>
    <row r="230" spans="1:3" ht="16.350000000000001" customHeight="1">
      <c r="A230" s="37" t="s">
        <v>1157</v>
      </c>
      <c r="B230" s="34" t="s">
        <v>1174</v>
      </c>
      <c r="C230" s="34" t="s">
        <v>74</v>
      </c>
    </row>
    <row r="231" spans="1:3" ht="16.350000000000001" customHeight="1">
      <c r="A231" s="37" t="s">
        <v>1157</v>
      </c>
      <c r="B231" s="34" t="s">
        <v>1174</v>
      </c>
      <c r="C231" s="34" t="s">
        <v>74</v>
      </c>
    </row>
    <row r="232" spans="1:3" ht="16.350000000000001" customHeight="1">
      <c r="A232" s="37" t="s">
        <v>1157</v>
      </c>
      <c r="B232" s="34" t="s">
        <v>1174</v>
      </c>
      <c r="C232" s="34" t="s">
        <v>74</v>
      </c>
    </row>
    <row r="233" spans="1:3" ht="16.350000000000001" customHeight="1">
      <c r="A233" s="37" t="s">
        <v>1158</v>
      </c>
      <c r="B233" s="34" t="s">
        <v>1175</v>
      </c>
      <c r="C233" s="34" t="s">
        <v>74</v>
      </c>
    </row>
    <row r="234" spans="1:3" ht="16.350000000000001" customHeight="1">
      <c r="A234" s="37" t="s">
        <v>1158</v>
      </c>
      <c r="B234" s="34" t="s">
        <v>1175</v>
      </c>
      <c r="C234" s="34" t="s">
        <v>74</v>
      </c>
    </row>
    <row r="235" spans="1:3" ht="16.350000000000001" customHeight="1">
      <c r="A235" s="37" t="s">
        <v>1158</v>
      </c>
      <c r="B235" s="34" t="s">
        <v>1175</v>
      </c>
      <c r="C235" s="34" t="s">
        <v>74</v>
      </c>
    </row>
    <row r="236" spans="1:3" ht="16.350000000000001" customHeight="1">
      <c r="A236" s="37" t="s">
        <v>1158</v>
      </c>
      <c r="B236" s="34" t="s">
        <v>1175</v>
      </c>
      <c r="C236" s="34" t="s">
        <v>74</v>
      </c>
    </row>
    <row r="237" spans="1:3" ht="16.350000000000001" customHeight="1">
      <c r="A237" s="37" t="s">
        <v>1158</v>
      </c>
      <c r="B237" s="34" t="s">
        <v>1175</v>
      </c>
      <c r="C237" s="34" t="s">
        <v>74</v>
      </c>
    </row>
    <row r="238" spans="1:3" ht="16.350000000000001" customHeight="1">
      <c r="A238" s="37" t="s">
        <v>1159</v>
      </c>
      <c r="B238" s="34" t="s">
        <v>1176</v>
      </c>
      <c r="C238" s="34" t="s">
        <v>74</v>
      </c>
    </row>
    <row r="239" spans="1:3" ht="16.350000000000001" customHeight="1">
      <c r="A239" s="37" t="s">
        <v>1159</v>
      </c>
      <c r="B239" s="34" t="s">
        <v>1176</v>
      </c>
      <c r="C239" s="34" t="s">
        <v>74</v>
      </c>
    </row>
    <row r="240" spans="1:3" ht="16.350000000000001" customHeight="1">
      <c r="A240" s="37" t="s">
        <v>1159</v>
      </c>
      <c r="B240" s="34" t="s">
        <v>1176</v>
      </c>
      <c r="C240" s="34" t="s">
        <v>74</v>
      </c>
    </row>
    <row r="241" spans="1:3" ht="16.350000000000001" customHeight="1">
      <c r="A241" s="37" t="s">
        <v>1159</v>
      </c>
      <c r="B241" s="34" t="s">
        <v>1176</v>
      </c>
      <c r="C241" s="34" t="s">
        <v>74</v>
      </c>
    </row>
    <row r="242" spans="1:3" ht="16.350000000000001" customHeight="1">
      <c r="A242" s="37" t="s">
        <v>1159</v>
      </c>
      <c r="B242" s="34" t="s">
        <v>1176</v>
      </c>
      <c r="C242" s="34" t="s">
        <v>74</v>
      </c>
    </row>
    <row r="243" spans="1:3" ht="16.350000000000001" customHeight="1">
      <c r="A243" s="37" t="s">
        <v>1160</v>
      </c>
      <c r="B243" s="34" t="s">
        <v>1177</v>
      </c>
      <c r="C243" s="34" t="s">
        <v>74</v>
      </c>
    </row>
    <row r="244" spans="1:3" ht="16.350000000000001" customHeight="1">
      <c r="A244" s="37" t="s">
        <v>1160</v>
      </c>
      <c r="B244" s="34" t="s">
        <v>1177</v>
      </c>
      <c r="C244" s="34" t="s">
        <v>74</v>
      </c>
    </row>
    <row r="245" spans="1:3" ht="16.350000000000001" customHeight="1">
      <c r="A245" s="37" t="s">
        <v>1161</v>
      </c>
      <c r="B245" s="34" t="s">
        <v>1178</v>
      </c>
      <c r="C245" s="34" t="s">
        <v>74</v>
      </c>
    </row>
    <row r="246" spans="1:3" ht="16.350000000000001" customHeight="1">
      <c r="A246" s="37" t="s">
        <v>1161</v>
      </c>
      <c r="B246" s="34" t="s">
        <v>1178</v>
      </c>
      <c r="C246" s="34" t="s">
        <v>74</v>
      </c>
    </row>
    <row r="247" spans="1:3" ht="16.350000000000001" customHeight="1">
      <c r="A247" s="37" t="s">
        <v>1162</v>
      </c>
      <c r="B247" s="34" t="s">
        <v>1179</v>
      </c>
      <c r="C247" s="34" t="s">
        <v>74</v>
      </c>
    </row>
    <row r="248" spans="1:3" ht="16.350000000000001" customHeight="1">
      <c r="A248" s="37" t="s">
        <v>1162</v>
      </c>
      <c r="B248" s="34" t="s">
        <v>1179</v>
      </c>
      <c r="C248" s="34" t="s">
        <v>74</v>
      </c>
    </row>
    <row r="249" spans="1:3" ht="16.350000000000001" customHeight="1">
      <c r="A249" s="37" t="s">
        <v>2353</v>
      </c>
      <c r="B249" s="34" t="s">
        <v>2350</v>
      </c>
      <c r="C249" s="34" t="s">
        <v>74</v>
      </c>
    </row>
    <row r="250" spans="1:3" ht="16.350000000000001" customHeight="1">
      <c r="A250" s="37" t="s">
        <v>2353</v>
      </c>
      <c r="B250" s="34" t="s">
        <v>2350</v>
      </c>
      <c r="C250" s="34" t="s">
        <v>74</v>
      </c>
    </row>
    <row r="251" spans="1:3" ht="16.350000000000001" customHeight="1">
      <c r="A251" s="37" t="s">
        <v>2353</v>
      </c>
      <c r="B251" s="34" t="s">
        <v>2350</v>
      </c>
      <c r="C251" s="34" t="s">
        <v>74</v>
      </c>
    </row>
    <row r="252" spans="1:3" ht="16.350000000000001" customHeight="1">
      <c r="A252" s="37" t="s">
        <v>2354</v>
      </c>
      <c r="B252" s="34" t="s">
        <v>2351</v>
      </c>
      <c r="C252" s="34" t="s">
        <v>74</v>
      </c>
    </row>
    <row r="253" spans="1:3" ht="16.350000000000001" customHeight="1">
      <c r="A253" s="37" t="s">
        <v>2354</v>
      </c>
      <c r="B253" s="34" t="s">
        <v>2351</v>
      </c>
      <c r="C253" s="34" t="s">
        <v>74</v>
      </c>
    </row>
    <row r="254" spans="1:3" ht="16.350000000000001" customHeight="1">
      <c r="A254" s="37" t="s">
        <v>2354</v>
      </c>
      <c r="B254" s="34" t="s">
        <v>2351</v>
      </c>
      <c r="C254" s="34" t="s">
        <v>74</v>
      </c>
    </row>
    <row r="255" spans="1:3" ht="16.350000000000001" customHeight="1">
      <c r="A255" s="37" t="s">
        <v>2355</v>
      </c>
      <c r="B255" s="34" t="s">
        <v>2352</v>
      </c>
      <c r="C255" s="34" t="s">
        <v>74</v>
      </c>
    </row>
    <row r="256" spans="1:3" ht="16.350000000000001" customHeight="1">
      <c r="A256" s="37" t="s">
        <v>2355</v>
      </c>
      <c r="B256" s="34" t="s">
        <v>2352</v>
      </c>
      <c r="C256" s="34" t="s">
        <v>74</v>
      </c>
    </row>
    <row r="257" spans="1:4" ht="16.350000000000001" customHeight="1">
      <c r="A257" s="37" t="s">
        <v>2355</v>
      </c>
      <c r="B257" s="34" t="s">
        <v>2352</v>
      </c>
      <c r="C257" s="34" t="s">
        <v>74</v>
      </c>
    </row>
    <row r="258" spans="1:4" ht="16.350000000000001" customHeight="1">
      <c r="A258" s="34" t="s">
        <v>1189</v>
      </c>
      <c r="B258" s="34" t="s">
        <v>1163</v>
      </c>
      <c r="C258" s="34" t="s">
        <v>75</v>
      </c>
      <c r="D258" s="34" t="s">
        <v>1244</v>
      </c>
    </row>
    <row r="259" spans="1:4" ht="16.350000000000001" customHeight="1">
      <c r="A259" s="34" t="s">
        <v>1189</v>
      </c>
      <c r="B259" s="34" t="s">
        <v>1163</v>
      </c>
      <c r="C259" s="34" t="s">
        <v>75</v>
      </c>
      <c r="D259" s="34" t="s">
        <v>1245</v>
      </c>
    </row>
    <row r="260" spans="1:4" ht="16.350000000000001" customHeight="1">
      <c r="A260" s="34" t="s">
        <v>1189</v>
      </c>
      <c r="B260" s="34" t="s">
        <v>1163</v>
      </c>
      <c r="C260" s="34" t="s">
        <v>75</v>
      </c>
    </row>
    <row r="261" spans="1:4" ht="16.350000000000001" customHeight="1">
      <c r="A261" s="34" t="s">
        <v>1189</v>
      </c>
      <c r="B261" s="34" t="s">
        <v>1163</v>
      </c>
      <c r="C261" s="34" t="s">
        <v>75</v>
      </c>
    </row>
    <row r="262" spans="1:4" ht="16.350000000000001" customHeight="1">
      <c r="A262" s="34" t="s">
        <v>2199</v>
      </c>
      <c r="B262" s="34" t="s">
        <v>1164</v>
      </c>
      <c r="C262" s="34" t="s">
        <v>75</v>
      </c>
    </row>
    <row r="263" spans="1:4" ht="16.350000000000001" customHeight="1">
      <c r="A263" s="34" t="s">
        <v>2199</v>
      </c>
      <c r="B263" s="34" t="s">
        <v>1164</v>
      </c>
      <c r="C263" s="34" t="s">
        <v>75</v>
      </c>
    </row>
    <row r="264" spans="1:4" ht="16.350000000000001" customHeight="1">
      <c r="A264" s="34" t="s">
        <v>2204</v>
      </c>
      <c r="B264" s="34" t="s">
        <v>1165</v>
      </c>
      <c r="C264" s="34" t="s">
        <v>75</v>
      </c>
    </row>
    <row r="265" spans="1:4" ht="16.350000000000001" customHeight="1">
      <c r="A265" s="34" t="s">
        <v>2204</v>
      </c>
      <c r="B265" s="34" t="s">
        <v>1165</v>
      </c>
      <c r="C265" s="34" t="s">
        <v>75</v>
      </c>
    </row>
    <row r="266" spans="1:4" ht="16.350000000000001" customHeight="1">
      <c r="A266" s="34" t="s">
        <v>1190</v>
      </c>
      <c r="B266" s="34" t="s">
        <v>1166</v>
      </c>
      <c r="C266" s="34" t="s">
        <v>75</v>
      </c>
    </row>
    <row r="267" spans="1:4" ht="16.350000000000001" customHeight="1">
      <c r="A267" s="34" t="s">
        <v>1190</v>
      </c>
      <c r="B267" s="34" t="s">
        <v>1166</v>
      </c>
      <c r="C267" s="34" t="s">
        <v>75</v>
      </c>
    </row>
    <row r="268" spans="1:4" ht="16.350000000000001" customHeight="1">
      <c r="A268" s="34" t="s">
        <v>1190</v>
      </c>
      <c r="B268" s="34" t="s">
        <v>1166</v>
      </c>
      <c r="C268" s="34" t="s">
        <v>75</v>
      </c>
    </row>
    <row r="269" spans="1:4" ht="16.350000000000001" customHeight="1">
      <c r="A269" s="34" t="s">
        <v>1190</v>
      </c>
      <c r="B269" s="34" t="s">
        <v>1166</v>
      </c>
      <c r="C269" s="34" t="s">
        <v>75</v>
      </c>
    </row>
    <row r="270" spans="1:4" ht="16.350000000000001" customHeight="1">
      <c r="A270" s="34" t="s">
        <v>2200</v>
      </c>
      <c r="B270" s="34" t="s">
        <v>1167</v>
      </c>
      <c r="C270" s="34" t="s">
        <v>75</v>
      </c>
    </row>
    <row r="271" spans="1:4" ht="16.350000000000001" customHeight="1">
      <c r="A271" s="34" t="s">
        <v>2200</v>
      </c>
      <c r="B271" s="34" t="s">
        <v>1167</v>
      </c>
      <c r="C271" s="34" t="s">
        <v>75</v>
      </c>
    </row>
    <row r="272" spans="1:4" ht="16.350000000000001" customHeight="1">
      <c r="A272" s="34" t="s">
        <v>2200</v>
      </c>
      <c r="B272" s="34" t="s">
        <v>1167</v>
      </c>
      <c r="C272" s="34" t="s">
        <v>75</v>
      </c>
    </row>
    <row r="273" spans="1:3" ht="16.350000000000001" customHeight="1">
      <c r="A273" s="34" t="s">
        <v>2205</v>
      </c>
      <c r="B273" s="34" t="s">
        <v>1168</v>
      </c>
      <c r="C273" s="34" t="s">
        <v>75</v>
      </c>
    </row>
    <row r="274" spans="1:3" ht="16.350000000000001" customHeight="1">
      <c r="A274" s="34" t="s">
        <v>2205</v>
      </c>
      <c r="B274" s="34" t="s">
        <v>1168</v>
      </c>
      <c r="C274" s="34" t="s">
        <v>75</v>
      </c>
    </row>
    <row r="275" spans="1:3" ht="16.350000000000001" customHeight="1">
      <c r="A275" s="34" t="s">
        <v>2205</v>
      </c>
      <c r="B275" s="34" t="s">
        <v>1168</v>
      </c>
      <c r="C275" s="34" t="s">
        <v>75</v>
      </c>
    </row>
    <row r="276" spans="1:3" ht="16.350000000000001" customHeight="1">
      <c r="A276" s="34" t="s">
        <v>1191</v>
      </c>
      <c r="B276" s="34" t="s">
        <v>1169</v>
      </c>
      <c r="C276" s="34" t="s">
        <v>75</v>
      </c>
    </row>
    <row r="277" spans="1:3" ht="16.350000000000001" customHeight="1">
      <c r="A277" s="34" t="s">
        <v>2356</v>
      </c>
      <c r="B277" s="34" t="s">
        <v>2349</v>
      </c>
      <c r="C277" s="34" t="s">
        <v>75</v>
      </c>
    </row>
    <row r="278" spans="1:3" ht="16.350000000000001" customHeight="1">
      <c r="A278" s="34" t="s">
        <v>2356</v>
      </c>
      <c r="B278" s="34" t="s">
        <v>2349</v>
      </c>
      <c r="C278" s="34" t="s">
        <v>75</v>
      </c>
    </row>
    <row r="279" spans="1:3" ht="16.350000000000001" customHeight="1">
      <c r="A279" s="34" t="s">
        <v>1192</v>
      </c>
      <c r="B279" s="34" t="s">
        <v>1171</v>
      </c>
      <c r="C279" s="34" t="s">
        <v>75</v>
      </c>
    </row>
    <row r="280" spans="1:3" ht="16.350000000000001" customHeight="1">
      <c r="A280" s="34" t="s">
        <v>1192</v>
      </c>
      <c r="B280" s="34" t="s">
        <v>1171</v>
      </c>
      <c r="C280" s="34" t="s">
        <v>75</v>
      </c>
    </row>
    <row r="281" spans="1:3" ht="16.350000000000001" customHeight="1">
      <c r="A281" s="34" t="s">
        <v>1192</v>
      </c>
      <c r="B281" s="34" t="s">
        <v>1171</v>
      </c>
      <c r="C281" s="34" t="s">
        <v>75</v>
      </c>
    </row>
    <row r="282" spans="1:3" ht="16.350000000000001" customHeight="1">
      <c r="A282" s="34" t="s">
        <v>1192</v>
      </c>
      <c r="B282" s="34" t="s">
        <v>1171</v>
      </c>
      <c r="C282" s="34" t="s">
        <v>75</v>
      </c>
    </row>
    <row r="283" spans="1:3" ht="16.350000000000001" customHeight="1">
      <c r="A283" s="34" t="s">
        <v>2201</v>
      </c>
      <c r="B283" s="34" t="s">
        <v>1172</v>
      </c>
      <c r="C283" s="34" t="s">
        <v>75</v>
      </c>
    </row>
    <row r="284" spans="1:3" ht="16.350000000000001" customHeight="1">
      <c r="A284" s="34" t="s">
        <v>2201</v>
      </c>
      <c r="B284" s="34" t="s">
        <v>1172</v>
      </c>
      <c r="C284" s="34" t="s">
        <v>75</v>
      </c>
    </row>
    <row r="285" spans="1:3" ht="16.350000000000001" customHeight="1">
      <c r="A285" s="34" t="s">
        <v>2201</v>
      </c>
      <c r="B285" s="34" t="s">
        <v>1172</v>
      </c>
      <c r="C285" s="34" t="s">
        <v>75</v>
      </c>
    </row>
    <row r="286" spans="1:3" ht="16.350000000000001" customHeight="1">
      <c r="A286" s="34" t="s">
        <v>2201</v>
      </c>
      <c r="B286" s="34" t="s">
        <v>1172</v>
      </c>
      <c r="C286" s="34" t="s">
        <v>75</v>
      </c>
    </row>
    <row r="287" spans="1:3" ht="16.350000000000001" customHeight="1">
      <c r="A287" s="34" t="s">
        <v>2206</v>
      </c>
      <c r="B287" s="34" t="s">
        <v>1173</v>
      </c>
      <c r="C287" s="34" t="s">
        <v>75</v>
      </c>
    </row>
    <row r="288" spans="1:3" ht="16.350000000000001" customHeight="1">
      <c r="A288" s="34" t="s">
        <v>2206</v>
      </c>
      <c r="B288" s="34" t="s">
        <v>1173</v>
      </c>
      <c r="C288" s="34" t="s">
        <v>75</v>
      </c>
    </row>
    <row r="289" spans="1:3" ht="16.350000000000001" customHeight="1">
      <c r="A289" s="34" t="s">
        <v>2206</v>
      </c>
      <c r="B289" s="34" t="s">
        <v>1173</v>
      </c>
      <c r="C289" s="34" t="s">
        <v>75</v>
      </c>
    </row>
    <row r="290" spans="1:3" ht="16.350000000000001" customHeight="1">
      <c r="A290" s="34" t="s">
        <v>2206</v>
      </c>
      <c r="B290" s="34" t="s">
        <v>1173</v>
      </c>
      <c r="C290" s="34" t="s">
        <v>75</v>
      </c>
    </row>
    <row r="291" spans="1:3" ht="16.350000000000001" customHeight="1">
      <c r="A291" s="34" t="s">
        <v>1193</v>
      </c>
      <c r="B291" s="34" t="s">
        <v>1174</v>
      </c>
      <c r="C291" s="34" t="s">
        <v>75</v>
      </c>
    </row>
    <row r="292" spans="1:3" ht="16.350000000000001" customHeight="1">
      <c r="A292" s="34" t="s">
        <v>1193</v>
      </c>
      <c r="B292" s="34" t="s">
        <v>1174</v>
      </c>
      <c r="C292" s="34" t="s">
        <v>75</v>
      </c>
    </row>
    <row r="293" spans="1:3" ht="16.350000000000001" customHeight="1">
      <c r="A293" s="34" t="s">
        <v>1193</v>
      </c>
      <c r="B293" s="34" t="s">
        <v>1174</v>
      </c>
      <c r="C293" s="34" t="s">
        <v>75</v>
      </c>
    </row>
    <row r="294" spans="1:3" ht="16.350000000000001" customHeight="1">
      <c r="A294" s="34" t="s">
        <v>1193</v>
      </c>
      <c r="B294" s="34" t="s">
        <v>1174</v>
      </c>
      <c r="C294" s="34" t="s">
        <v>75</v>
      </c>
    </row>
    <row r="295" spans="1:3" ht="16.350000000000001" customHeight="1">
      <c r="A295" s="34" t="s">
        <v>1193</v>
      </c>
      <c r="B295" s="34" t="s">
        <v>1174</v>
      </c>
      <c r="C295" s="34" t="s">
        <v>75</v>
      </c>
    </row>
    <row r="296" spans="1:3" ht="16.350000000000001" customHeight="1">
      <c r="A296" s="34" t="s">
        <v>2202</v>
      </c>
      <c r="B296" s="34" t="s">
        <v>1175</v>
      </c>
      <c r="C296" s="34" t="s">
        <v>75</v>
      </c>
    </row>
    <row r="297" spans="1:3" ht="16.350000000000001" customHeight="1">
      <c r="A297" s="34" t="s">
        <v>2202</v>
      </c>
      <c r="B297" s="34" t="s">
        <v>1175</v>
      </c>
      <c r="C297" s="34" t="s">
        <v>75</v>
      </c>
    </row>
    <row r="298" spans="1:3" ht="16.350000000000001" customHeight="1">
      <c r="A298" s="34" t="s">
        <v>2202</v>
      </c>
      <c r="B298" s="34" t="s">
        <v>1175</v>
      </c>
      <c r="C298" s="34" t="s">
        <v>75</v>
      </c>
    </row>
    <row r="299" spans="1:3" ht="16.350000000000001" customHeight="1">
      <c r="A299" s="34" t="s">
        <v>2202</v>
      </c>
      <c r="B299" s="34" t="s">
        <v>1175</v>
      </c>
      <c r="C299" s="34" t="s">
        <v>75</v>
      </c>
    </row>
    <row r="300" spans="1:3" ht="16.350000000000001" customHeight="1">
      <c r="A300" s="34" t="s">
        <v>2202</v>
      </c>
      <c r="B300" s="34" t="s">
        <v>1175</v>
      </c>
      <c r="C300" s="34" t="s">
        <v>75</v>
      </c>
    </row>
    <row r="301" spans="1:3" ht="16.350000000000001" customHeight="1">
      <c r="A301" s="34" t="s">
        <v>2207</v>
      </c>
      <c r="B301" s="34" t="s">
        <v>1176</v>
      </c>
      <c r="C301" s="34" t="s">
        <v>75</v>
      </c>
    </row>
    <row r="302" spans="1:3" ht="16.350000000000001" customHeight="1">
      <c r="A302" s="34" t="s">
        <v>2207</v>
      </c>
      <c r="B302" s="34" t="s">
        <v>1176</v>
      </c>
      <c r="C302" s="34" t="s">
        <v>75</v>
      </c>
    </row>
    <row r="303" spans="1:3" ht="16.350000000000001" customHeight="1">
      <c r="A303" s="34" t="s">
        <v>2207</v>
      </c>
      <c r="B303" s="34" t="s">
        <v>1176</v>
      </c>
      <c r="C303" s="34" t="s">
        <v>75</v>
      </c>
    </row>
    <row r="304" spans="1:3" ht="16.350000000000001" customHeight="1">
      <c r="A304" s="34" t="s">
        <v>2207</v>
      </c>
      <c r="B304" s="34" t="s">
        <v>1176</v>
      </c>
      <c r="C304" s="34" t="s">
        <v>75</v>
      </c>
    </row>
    <row r="305" spans="1:3" ht="16.350000000000001" customHeight="1">
      <c r="A305" s="34" t="s">
        <v>2207</v>
      </c>
      <c r="B305" s="34" t="s">
        <v>1176</v>
      </c>
      <c r="C305" s="34" t="s">
        <v>75</v>
      </c>
    </row>
    <row r="306" spans="1:3" ht="16.350000000000001" customHeight="1">
      <c r="A306" s="34" t="s">
        <v>1194</v>
      </c>
      <c r="B306" s="34" t="s">
        <v>1177</v>
      </c>
      <c r="C306" s="34" t="s">
        <v>75</v>
      </c>
    </row>
    <row r="307" spans="1:3" ht="16.350000000000001" customHeight="1">
      <c r="A307" s="34" t="s">
        <v>1194</v>
      </c>
      <c r="B307" s="34" t="s">
        <v>1177</v>
      </c>
      <c r="C307" s="34" t="s">
        <v>75</v>
      </c>
    </row>
    <row r="308" spans="1:3" ht="16.350000000000001" customHeight="1">
      <c r="A308" s="34" t="s">
        <v>2203</v>
      </c>
      <c r="B308" s="34" t="s">
        <v>1178</v>
      </c>
      <c r="C308" s="34" t="s">
        <v>75</v>
      </c>
    </row>
    <row r="309" spans="1:3" ht="16.350000000000001" customHeight="1">
      <c r="A309" s="34" t="s">
        <v>2203</v>
      </c>
      <c r="B309" s="34" t="s">
        <v>1178</v>
      </c>
      <c r="C309" s="34" t="s">
        <v>75</v>
      </c>
    </row>
    <row r="310" spans="1:3" ht="16.350000000000001" customHeight="1">
      <c r="A310" s="34" t="s">
        <v>2208</v>
      </c>
      <c r="B310" s="34" t="s">
        <v>1179</v>
      </c>
      <c r="C310" s="34" t="s">
        <v>75</v>
      </c>
    </row>
    <row r="311" spans="1:3" ht="16.350000000000001" customHeight="1">
      <c r="A311" s="34" t="s">
        <v>2208</v>
      </c>
      <c r="B311" s="34" t="s">
        <v>1179</v>
      </c>
      <c r="C311" s="34" t="s">
        <v>75</v>
      </c>
    </row>
    <row r="312" spans="1:3" ht="16.350000000000001" customHeight="1">
      <c r="A312" s="34" t="s">
        <v>2357</v>
      </c>
      <c r="B312" s="34" t="s">
        <v>2350</v>
      </c>
      <c r="C312" s="34" t="s">
        <v>75</v>
      </c>
    </row>
    <row r="313" spans="1:3" ht="16.350000000000001" customHeight="1">
      <c r="A313" s="34" t="s">
        <v>2357</v>
      </c>
      <c r="B313" s="34" t="s">
        <v>2350</v>
      </c>
      <c r="C313" s="34" t="s">
        <v>75</v>
      </c>
    </row>
    <row r="314" spans="1:3" ht="16.350000000000001" customHeight="1">
      <c r="A314" s="34" t="s">
        <v>2357</v>
      </c>
      <c r="B314" s="34" t="s">
        <v>2350</v>
      </c>
      <c r="C314" s="34" t="s">
        <v>75</v>
      </c>
    </row>
    <row r="315" spans="1:3" ht="16.350000000000001" customHeight="1">
      <c r="A315" s="34" t="s">
        <v>2358</v>
      </c>
      <c r="B315" s="34" t="s">
        <v>2351</v>
      </c>
      <c r="C315" s="34" t="s">
        <v>75</v>
      </c>
    </row>
    <row r="316" spans="1:3" ht="16.350000000000001" customHeight="1">
      <c r="A316" s="34" t="s">
        <v>2358</v>
      </c>
      <c r="B316" s="34" t="s">
        <v>2351</v>
      </c>
      <c r="C316" s="34" t="s">
        <v>75</v>
      </c>
    </row>
    <row r="317" spans="1:3" ht="16.350000000000001" customHeight="1">
      <c r="A317" s="34" t="s">
        <v>2358</v>
      </c>
      <c r="B317" s="34" t="s">
        <v>2351</v>
      </c>
      <c r="C317" s="34" t="s">
        <v>75</v>
      </c>
    </row>
    <row r="318" spans="1:3" ht="16.350000000000001" customHeight="1">
      <c r="A318" s="34" t="s">
        <v>2359</v>
      </c>
      <c r="B318" s="34" t="s">
        <v>2352</v>
      </c>
      <c r="C318" s="34" t="s">
        <v>75</v>
      </c>
    </row>
    <row r="319" spans="1:3" ht="16.350000000000001" customHeight="1">
      <c r="A319" s="34" t="s">
        <v>2359</v>
      </c>
      <c r="B319" s="34" t="s">
        <v>2352</v>
      </c>
      <c r="C319" s="34" t="s">
        <v>75</v>
      </c>
    </row>
    <row r="320" spans="1:3" ht="16.350000000000001" customHeight="1">
      <c r="A320" s="34" t="s">
        <v>2359</v>
      </c>
      <c r="B320" s="34" t="s">
        <v>2352</v>
      </c>
      <c r="C320" s="34" t="s">
        <v>75</v>
      </c>
    </row>
    <row r="321" spans="1:3" ht="16.350000000000001" customHeight="1">
      <c r="A321" s="34" t="s">
        <v>1579</v>
      </c>
      <c r="B321" s="34" t="s">
        <v>1163</v>
      </c>
      <c r="C321" s="34" t="s">
        <v>1578</v>
      </c>
    </row>
    <row r="322" spans="1:3" ht="16.350000000000001" customHeight="1">
      <c r="A322" s="34" t="s">
        <v>1579</v>
      </c>
      <c r="B322" s="34" t="s">
        <v>1163</v>
      </c>
      <c r="C322" s="34" t="s">
        <v>1578</v>
      </c>
    </row>
    <row r="323" spans="1:3" ht="16.350000000000001" customHeight="1">
      <c r="A323" s="34" t="s">
        <v>1579</v>
      </c>
      <c r="B323" s="34" t="s">
        <v>1163</v>
      </c>
      <c r="C323" s="34" t="s">
        <v>1578</v>
      </c>
    </row>
    <row r="324" spans="1:3" ht="16.350000000000001" customHeight="1">
      <c r="A324" s="34" t="s">
        <v>1579</v>
      </c>
      <c r="B324" s="34" t="s">
        <v>1163</v>
      </c>
      <c r="C324" s="34" t="s">
        <v>1578</v>
      </c>
    </row>
    <row r="325" spans="1:3" ht="16.350000000000001" customHeight="1">
      <c r="A325" s="34" t="s">
        <v>1585</v>
      </c>
      <c r="B325" s="34" t="s">
        <v>1164</v>
      </c>
      <c r="C325" s="34" t="s">
        <v>1578</v>
      </c>
    </row>
    <row r="326" spans="1:3" ht="16.350000000000001" customHeight="1">
      <c r="A326" s="34" t="s">
        <v>1585</v>
      </c>
      <c r="B326" s="34" t="s">
        <v>1164</v>
      </c>
      <c r="C326" s="34" t="s">
        <v>1578</v>
      </c>
    </row>
    <row r="327" spans="1:3" ht="16.350000000000001" customHeight="1">
      <c r="A327" s="34" t="s">
        <v>1590</v>
      </c>
      <c r="B327" s="34" t="s">
        <v>1165</v>
      </c>
      <c r="C327" s="34" t="s">
        <v>1578</v>
      </c>
    </row>
    <row r="328" spans="1:3" ht="16.350000000000001" customHeight="1">
      <c r="A328" s="34" t="s">
        <v>1590</v>
      </c>
      <c r="B328" s="34" t="s">
        <v>1165</v>
      </c>
      <c r="C328" s="34" t="s">
        <v>1578</v>
      </c>
    </row>
    <row r="329" spans="1:3" ht="16.350000000000001" customHeight="1">
      <c r="A329" s="34" t="s">
        <v>1580</v>
      </c>
      <c r="B329" s="34" t="s">
        <v>1166</v>
      </c>
      <c r="C329" s="34" t="s">
        <v>1578</v>
      </c>
    </row>
    <row r="330" spans="1:3" ht="16.350000000000001" customHeight="1">
      <c r="A330" s="34" t="s">
        <v>1580</v>
      </c>
      <c r="B330" s="34" t="s">
        <v>1166</v>
      </c>
      <c r="C330" s="34" t="s">
        <v>1578</v>
      </c>
    </row>
    <row r="331" spans="1:3" ht="16.350000000000001" customHeight="1">
      <c r="A331" s="34" t="s">
        <v>1580</v>
      </c>
      <c r="B331" s="34" t="s">
        <v>1166</v>
      </c>
      <c r="C331" s="34" t="s">
        <v>1578</v>
      </c>
    </row>
    <row r="332" spans="1:3" ht="16.350000000000001" customHeight="1">
      <c r="A332" s="34" t="s">
        <v>1580</v>
      </c>
      <c r="B332" s="34" t="s">
        <v>1166</v>
      </c>
      <c r="C332" s="34" t="s">
        <v>1578</v>
      </c>
    </row>
    <row r="333" spans="1:3" ht="16.350000000000001" customHeight="1">
      <c r="A333" s="34" t="s">
        <v>1586</v>
      </c>
      <c r="B333" s="34" t="s">
        <v>1167</v>
      </c>
      <c r="C333" s="34" t="s">
        <v>1578</v>
      </c>
    </row>
    <row r="334" spans="1:3" ht="16.350000000000001" customHeight="1">
      <c r="A334" s="34" t="s">
        <v>1586</v>
      </c>
      <c r="B334" s="34" t="s">
        <v>1167</v>
      </c>
      <c r="C334" s="34" t="s">
        <v>1578</v>
      </c>
    </row>
    <row r="335" spans="1:3" ht="16.350000000000001" customHeight="1">
      <c r="A335" s="34" t="s">
        <v>1586</v>
      </c>
      <c r="B335" s="34" t="s">
        <v>1167</v>
      </c>
      <c r="C335" s="34" t="s">
        <v>1578</v>
      </c>
    </row>
    <row r="336" spans="1:3" ht="16.350000000000001" customHeight="1">
      <c r="A336" s="34" t="s">
        <v>1591</v>
      </c>
      <c r="B336" s="34" t="s">
        <v>1168</v>
      </c>
      <c r="C336" s="34" t="s">
        <v>1578</v>
      </c>
    </row>
    <row r="337" spans="1:3" ht="16.350000000000001" customHeight="1">
      <c r="A337" s="34" t="s">
        <v>1591</v>
      </c>
      <c r="B337" s="34" t="s">
        <v>1168</v>
      </c>
      <c r="C337" s="34" t="s">
        <v>1578</v>
      </c>
    </row>
    <row r="338" spans="1:3" ht="16.350000000000001" customHeight="1">
      <c r="A338" s="34" t="s">
        <v>1591</v>
      </c>
      <c r="B338" s="34" t="s">
        <v>1168</v>
      </c>
      <c r="C338" s="34" t="s">
        <v>1578</v>
      </c>
    </row>
    <row r="339" spans="1:3" ht="16.350000000000001" customHeight="1">
      <c r="A339" s="34" t="s">
        <v>1581</v>
      </c>
      <c r="B339" s="34" t="s">
        <v>1169</v>
      </c>
      <c r="C339" s="34" t="s">
        <v>1578</v>
      </c>
    </row>
    <row r="340" spans="1:3" ht="16.350000000000001" customHeight="1">
      <c r="A340" s="34" t="s">
        <v>2360</v>
      </c>
      <c r="B340" s="34" t="s">
        <v>2349</v>
      </c>
      <c r="C340" s="34" t="s">
        <v>1578</v>
      </c>
    </row>
    <row r="341" spans="1:3" ht="16.350000000000001" customHeight="1">
      <c r="A341" s="34" t="s">
        <v>2360</v>
      </c>
      <c r="B341" s="34" t="s">
        <v>2349</v>
      </c>
      <c r="C341" s="34" t="s">
        <v>1578</v>
      </c>
    </row>
    <row r="342" spans="1:3" ht="16.350000000000001" customHeight="1">
      <c r="A342" s="34" t="s">
        <v>1582</v>
      </c>
      <c r="B342" s="34" t="s">
        <v>1171</v>
      </c>
      <c r="C342" s="34" t="s">
        <v>1578</v>
      </c>
    </row>
    <row r="343" spans="1:3" ht="16.350000000000001" customHeight="1">
      <c r="A343" s="34" t="s">
        <v>1582</v>
      </c>
      <c r="B343" s="34" t="s">
        <v>1171</v>
      </c>
      <c r="C343" s="34" t="s">
        <v>1578</v>
      </c>
    </row>
    <row r="344" spans="1:3" ht="16.350000000000001" customHeight="1">
      <c r="A344" s="34" t="s">
        <v>1582</v>
      </c>
      <c r="B344" s="34" t="s">
        <v>1171</v>
      </c>
      <c r="C344" s="34" t="s">
        <v>1578</v>
      </c>
    </row>
    <row r="345" spans="1:3" ht="16.350000000000001" customHeight="1">
      <c r="A345" s="34" t="s">
        <v>1582</v>
      </c>
      <c r="B345" s="34" t="s">
        <v>1171</v>
      </c>
      <c r="C345" s="34" t="s">
        <v>1578</v>
      </c>
    </row>
    <row r="346" spans="1:3" ht="16.350000000000001" customHeight="1">
      <c r="A346" s="34" t="s">
        <v>1587</v>
      </c>
      <c r="B346" s="34" t="s">
        <v>1172</v>
      </c>
      <c r="C346" s="34" t="s">
        <v>1578</v>
      </c>
    </row>
    <row r="347" spans="1:3" ht="16.350000000000001" customHeight="1">
      <c r="A347" s="34" t="s">
        <v>1587</v>
      </c>
      <c r="B347" s="34" t="s">
        <v>1172</v>
      </c>
      <c r="C347" s="34" t="s">
        <v>1578</v>
      </c>
    </row>
    <row r="348" spans="1:3" ht="16.350000000000001" customHeight="1">
      <c r="A348" s="34" t="s">
        <v>1587</v>
      </c>
      <c r="B348" s="34" t="s">
        <v>1172</v>
      </c>
      <c r="C348" s="34" t="s">
        <v>1578</v>
      </c>
    </row>
    <row r="349" spans="1:3" ht="16.350000000000001" customHeight="1">
      <c r="A349" s="34" t="s">
        <v>1587</v>
      </c>
      <c r="B349" s="34" t="s">
        <v>1172</v>
      </c>
      <c r="C349" s="34" t="s">
        <v>1578</v>
      </c>
    </row>
    <row r="350" spans="1:3" ht="16.350000000000001" customHeight="1">
      <c r="A350" s="34" t="s">
        <v>1592</v>
      </c>
      <c r="B350" s="34" t="s">
        <v>1173</v>
      </c>
      <c r="C350" s="34" t="s">
        <v>1578</v>
      </c>
    </row>
    <row r="351" spans="1:3" ht="16.350000000000001" customHeight="1">
      <c r="A351" s="34" t="s">
        <v>1592</v>
      </c>
      <c r="B351" s="34" t="s">
        <v>1173</v>
      </c>
      <c r="C351" s="34" t="s">
        <v>1578</v>
      </c>
    </row>
    <row r="352" spans="1:3" ht="16.350000000000001" customHeight="1">
      <c r="A352" s="34" t="s">
        <v>1592</v>
      </c>
      <c r="B352" s="34" t="s">
        <v>1173</v>
      </c>
      <c r="C352" s="34" t="s">
        <v>1578</v>
      </c>
    </row>
    <row r="353" spans="1:3" ht="16.350000000000001" customHeight="1">
      <c r="A353" s="34" t="s">
        <v>1592</v>
      </c>
      <c r="B353" s="34" t="s">
        <v>1173</v>
      </c>
      <c r="C353" s="34" t="s">
        <v>1578</v>
      </c>
    </row>
    <row r="354" spans="1:3" ht="16.350000000000001" customHeight="1">
      <c r="A354" s="34" t="s">
        <v>1583</v>
      </c>
      <c r="B354" s="34" t="s">
        <v>1174</v>
      </c>
      <c r="C354" s="34" t="s">
        <v>1578</v>
      </c>
    </row>
    <row r="355" spans="1:3" ht="16.350000000000001" customHeight="1">
      <c r="A355" s="34" t="s">
        <v>1583</v>
      </c>
      <c r="B355" s="34" t="s">
        <v>1174</v>
      </c>
      <c r="C355" s="34" t="s">
        <v>1578</v>
      </c>
    </row>
    <row r="356" spans="1:3" ht="16.350000000000001" customHeight="1">
      <c r="A356" s="34" t="s">
        <v>1583</v>
      </c>
      <c r="B356" s="34" t="s">
        <v>1174</v>
      </c>
      <c r="C356" s="34" t="s">
        <v>1578</v>
      </c>
    </row>
    <row r="357" spans="1:3" ht="16.350000000000001" customHeight="1">
      <c r="A357" s="34" t="s">
        <v>1583</v>
      </c>
      <c r="B357" s="34" t="s">
        <v>1174</v>
      </c>
      <c r="C357" s="34" t="s">
        <v>1578</v>
      </c>
    </row>
    <row r="358" spans="1:3" ht="16.350000000000001" customHeight="1">
      <c r="A358" s="34" t="s">
        <v>1583</v>
      </c>
      <c r="B358" s="34" t="s">
        <v>1174</v>
      </c>
      <c r="C358" s="34" t="s">
        <v>1578</v>
      </c>
    </row>
    <row r="359" spans="1:3" ht="16.350000000000001" customHeight="1">
      <c r="A359" s="34" t="s">
        <v>1588</v>
      </c>
      <c r="B359" s="34" t="s">
        <v>1175</v>
      </c>
      <c r="C359" s="34" t="s">
        <v>1578</v>
      </c>
    </row>
    <row r="360" spans="1:3" ht="16.350000000000001" customHeight="1">
      <c r="A360" s="34" t="s">
        <v>1588</v>
      </c>
      <c r="B360" s="34" t="s">
        <v>1175</v>
      </c>
      <c r="C360" s="34" t="s">
        <v>1578</v>
      </c>
    </row>
    <row r="361" spans="1:3" ht="16.350000000000001" customHeight="1">
      <c r="A361" s="34" t="s">
        <v>1588</v>
      </c>
      <c r="B361" s="34" t="s">
        <v>1175</v>
      </c>
      <c r="C361" s="34" t="s">
        <v>1578</v>
      </c>
    </row>
    <row r="362" spans="1:3" ht="16.350000000000001" customHeight="1">
      <c r="A362" s="34" t="s">
        <v>1588</v>
      </c>
      <c r="B362" s="34" t="s">
        <v>1175</v>
      </c>
      <c r="C362" s="34" t="s">
        <v>1578</v>
      </c>
    </row>
    <row r="363" spans="1:3" ht="16.350000000000001" customHeight="1">
      <c r="A363" s="34" t="s">
        <v>1588</v>
      </c>
      <c r="B363" s="34" t="s">
        <v>1175</v>
      </c>
      <c r="C363" s="34" t="s">
        <v>1578</v>
      </c>
    </row>
    <row r="364" spans="1:3" ht="16.350000000000001" customHeight="1">
      <c r="A364" s="34" t="s">
        <v>1593</v>
      </c>
      <c r="B364" s="34" t="s">
        <v>1176</v>
      </c>
      <c r="C364" s="34" t="s">
        <v>1578</v>
      </c>
    </row>
    <row r="365" spans="1:3" ht="16.350000000000001" customHeight="1">
      <c r="A365" s="34" t="s">
        <v>1593</v>
      </c>
      <c r="B365" s="34" t="s">
        <v>1176</v>
      </c>
      <c r="C365" s="34" t="s">
        <v>1578</v>
      </c>
    </row>
    <row r="366" spans="1:3" ht="16.350000000000001" customHeight="1">
      <c r="A366" s="34" t="s">
        <v>1593</v>
      </c>
      <c r="B366" s="34" t="s">
        <v>1176</v>
      </c>
      <c r="C366" s="34" t="s">
        <v>1578</v>
      </c>
    </row>
    <row r="367" spans="1:3" ht="16.350000000000001" customHeight="1">
      <c r="A367" s="34" t="s">
        <v>1593</v>
      </c>
      <c r="B367" s="34" t="s">
        <v>1176</v>
      </c>
      <c r="C367" s="34" t="s">
        <v>1578</v>
      </c>
    </row>
    <row r="368" spans="1:3" ht="16.350000000000001" customHeight="1">
      <c r="A368" s="34" t="s">
        <v>1593</v>
      </c>
      <c r="B368" s="34" t="s">
        <v>1176</v>
      </c>
      <c r="C368" s="34" t="s">
        <v>1578</v>
      </c>
    </row>
    <row r="369" spans="1:3" ht="16.350000000000001" customHeight="1">
      <c r="A369" s="34" t="s">
        <v>1584</v>
      </c>
      <c r="B369" s="34" t="s">
        <v>1177</v>
      </c>
      <c r="C369" s="34" t="s">
        <v>1578</v>
      </c>
    </row>
    <row r="370" spans="1:3" ht="16.350000000000001" customHeight="1">
      <c r="A370" s="34" t="s">
        <v>1584</v>
      </c>
      <c r="B370" s="34" t="s">
        <v>1177</v>
      </c>
      <c r="C370" s="34" t="s">
        <v>1578</v>
      </c>
    </row>
    <row r="371" spans="1:3" ht="16.350000000000001" customHeight="1">
      <c r="A371" s="34" t="s">
        <v>1589</v>
      </c>
      <c r="B371" s="34" t="s">
        <v>1178</v>
      </c>
      <c r="C371" s="34" t="s">
        <v>1578</v>
      </c>
    </row>
    <row r="372" spans="1:3" ht="16.350000000000001" customHeight="1">
      <c r="A372" s="34" t="s">
        <v>1589</v>
      </c>
      <c r="B372" s="34" t="s">
        <v>1178</v>
      </c>
      <c r="C372" s="34" t="s">
        <v>1578</v>
      </c>
    </row>
    <row r="373" spans="1:3" ht="16.350000000000001" customHeight="1">
      <c r="A373" s="34" t="s">
        <v>1594</v>
      </c>
      <c r="B373" s="34" t="s">
        <v>1179</v>
      </c>
      <c r="C373" s="34" t="s">
        <v>1578</v>
      </c>
    </row>
    <row r="374" spans="1:3" ht="16.350000000000001" customHeight="1">
      <c r="A374" s="34" t="s">
        <v>1594</v>
      </c>
      <c r="B374" s="34" t="s">
        <v>1179</v>
      </c>
      <c r="C374" s="34" t="s">
        <v>1578</v>
      </c>
    </row>
    <row r="375" spans="1:3" ht="16.350000000000001" customHeight="1">
      <c r="A375" s="34" t="s">
        <v>2361</v>
      </c>
      <c r="B375" s="34" t="s">
        <v>2350</v>
      </c>
      <c r="C375" s="34" t="s">
        <v>1578</v>
      </c>
    </row>
    <row r="376" spans="1:3" ht="16.350000000000001" customHeight="1">
      <c r="A376" s="34" t="s">
        <v>2361</v>
      </c>
      <c r="B376" s="34" t="s">
        <v>2350</v>
      </c>
      <c r="C376" s="34" t="s">
        <v>1578</v>
      </c>
    </row>
    <row r="377" spans="1:3" ht="16.350000000000001" customHeight="1">
      <c r="A377" s="34" t="s">
        <v>2361</v>
      </c>
      <c r="B377" s="34" t="s">
        <v>2350</v>
      </c>
      <c r="C377" s="34" t="s">
        <v>1578</v>
      </c>
    </row>
    <row r="378" spans="1:3" ht="16.350000000000001" customHeight="1">
      <c r="A378" s="34" t="s">
        <v>2362</v>
      </c>
      <c r="B378" s="34" t="s">
        <v>2351</v>
      </c>
      <c r="C378" s="34" t="s">
        <v>1578</v>
      </c>
    </row>
    <row r="379" spans="1:3" ht="16.350000000000001" customHeight="1">
      <c r="A379" s="34" t="s">
        <v>2362</v>
      </c>
      <c r="B379" s="34" t="s">
        <v>2351</v>
      </c>
      <c r="C379" s="34" t="s">
        <v>1578</v>
      </c>
    </row>
    <row r="380" spans="1:3" ht="16.350000000000001" customHeight="1">
      <c r="A380" s="34" t="s">
        <v>2362</v>
      </c>
      <c r="B380" s="34" t="s">
        <v>2351</v>
      </c>
      <c r="C380" s="34" t="s">
        <v>1578</v>
      </c>
    </row>
    <row r="381" spans="1:3" ht="16.350000000000001" customHeight="1">
      <c r="A381" s="34" t="s">
        <v>2363</v>
      </c>
      <c r="B381" s="34" t="s">
        <v>2352</v>
      </c>
      <c r="C381" s="34" t="s">
        <v>1578</v>
      </c>
    </row>
    <row r="382" spans="1:3" ht="16.350000000000001" customHeight="1">
      <c r="A382" s="34" t="s">
        <v>2363</v>
      </c>
      <c r="B382" s="34" t="s">
        <v>2352</v>
      </c>
      <c r="C382" s="34" t="s">
        <v>1578</v>
      </c>
    </row>
    <row r="383" spans="1:3" ht="16.350000000000001" customHeight="1">
      <c r="A383" s="34" t="s">
        <v>2363</v>
      </c>
      <c r="B383" s="34" t="s">
        <v>2352</v>
      </c>
      <c r="C383" s="34" t="s">
        <v>1578</v>
      </c>
    </row>
  </sheetData>
  <autoFilter ref="A1:F66" xr:uid="{1E9C0D46-ABEB-488C-8330-8BC9B1A2BBC3}">
    <filterColumn colId="3">
      <filters>
        <filter val="široký_BLUM_Naložený"/>
        <filter val="široký_BLUM_Polonaložený"/>
        <filter val="široký_BLUM_Vložený"/>
        <filter val="úzký_BLUM_Naložený"/>
        <filter val="úzký_BLUM_Polonaložený"/>
        <filter val="úzký_BLUM_Vložený"/>
      </filters>
    </filterColumn>
  </autoFilter>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FFA5-6E77-4F90-A37F-D4B93EF8B4E0}">
  <sheetPr codeName="List27"/>
  <dimension ref="A1:AK748"/>
  <sheetViews>
    <sheetView workbookViewId="0">
      <selection activeCell="B2" sqref="B2"/>
    </sheetView>
  </sheetViews>
  <sheetFormatPr defaultColWidth="8.5703125" defaultRowHeight="15"/>
  <cols>
    <col min="1" max="1" width="16.42578125" style="133" customWidth="1"/>
    <col min="2" max="2" width="54.140625" style="133" customWidth="1"/>
    <col min="3" max="3" width="39.5703125" style="133" customWidth="1"/>
    <col min="4" max="4" width="9.5703125" style="133" bestFit="1" customWidth="1"/>
    <col min="5" max="5" width="9.42578125" style="133" bestFit="1" customWidth="1"/>
    <col min="6" max="6" width="11" style="133" customWidth="1"/>
    <col min="7" max="7" width="10.140625" style="133" customWidth="1"/>
    <col min="8" max="8" width="9.5703125" style="133" customWidth="1"/>
    <col min="9" max="9" width="10.5703125" style="133" customWidth="1"/>
    <col min="10" max="10" width="9.5703125" style="133" customWidth="1"/>
    <col min="11" max="11" width="10.42578125" style="133" customWidth="1"/>
    <col min="12" max="12" width="12" style="133" customWidth="1"/>
    <col min="13" max="13" width="51.7109375" style="133" customWidth="1"/>
    <col min="14" max="14" width="45.42578125" style="133" customWidth="1"/>
    <col min="15" max="15" width="54.28515625" style="133" customWidth="1"/>
    <col min="16" max="16" width="50" style="133" customWidth="1"/>
    <col min="17" max="17" width="41.5703125" style="133" customWidth="1"/>
    <col min="18" max="18" width="84" style="133" bestFit="1" customWidth="1"/>
    <col min="19" max="19" width="8.5703125" style="133"/>
    <col min="20" max="20" width="18.5703125" style="133" bestFit="1" customWidth="1"/>
    <col min="21" max="21" width="21.140625" style="133" customWidth="1"/>
    <col min="22" max="26" width="8.5703125" style="133"/>
    <col min="27" max="28" width="65.85546875" style="133" bestFit="1" customWidth="1"/>
    <col min="29" max="33" width="8.5703125" style="133"/>
    <col min="34" max="34" width="59.85546875" style="133" bestFit="1" customWidth="1"/>
    <col min="35" max="16384" width="8.5703125" style="133"/>
  </cols>
  <sheetData>
    <row r="1" spans="1:35">
      <c r="A1" s="483" t="s">
        <v>4622</v>
      </c>
      <c r="B1" s="484" t="s">
        <v>4623</v>
      </c>
      <c r="C1" s="482"/>
      <c r="D1" s="133">
        <f>Hlavní!V39</f>
        <v>3</v>
      </c>
      <c r="M1" s="175"/>
      <c r="AA1" s="178" t="s">
        <v>3231</v>
      </c>
      <c r="AB1" t="s">
        <v>554</v>
      </c>
      <c r="AH1" s="192" t="s">
        <v>385</v>
      </c>
      <c r="AI1" s="192" t="s">
        <v>387</v>
      </c>
    </row>
    <row r="2" spans="1:35">
      <c r="B2" s="482"/>
      <c r="C2" s="482"/>
      <c r="M2" s="175"/>
      <c r="AA2" s="178" t="s">
        <v>3232</v>
      </c>
      <c r="AB2" t="s">
        <v>4446</v>
      </c>
      <c r="AH2" s="192" t="s">
        <v>1139</v>
      </c>
      <c r="AI2" s="192" t="s">
        <v>1140</v>
      </c>
    </row>
    <row r="3" spans="1:35">
      <c r="B3" s="479"/>
      <c r="C3" s="134"/>
      <c r="D3" s="134"/>
      <c r="E3" s="134"/>
      <c r="F3" s="134"/>
      <c r="G3" s="168" t="s">
        <v>18</v>
      </c>
      <c r="H3" s="169">
        <v>25.05</v>
      </c>
      <c r="I3" s="168" t="s">
        <v>18</v>
      </c>
      <c r="J3" s="169">
        <v>6</v>
      </c>
      <c r="K3" s="168" t="s">
        <v>558</v>
      </c>
      <c r="L3" s="169">
        <v>6.2</v>
      </c>
      <c r="M3" s="175"/>
      <c r="AA3" s="178" t="s">
        <v>3233</v>
      </c>
      <c r="AB3" t="s">
        <v>4447</v>
      </c>
      <c r="AH3" s="192" t="s">
        <v>988</v>
      </c>
      <c r="AI3" s="192" t="s">
        <v>1136</v>
      </c>
    </row>
    <row r="4" spans="1:35">
      <c r="B4" s="170" t="s">
        <v>19</v>
      </c>
      <c r="C4" s="561" t="s">
        <v>20</v>
      </c>
      <c r="D4" s="562"/>
      <c r="E4" s="561" t="s">
        <v>20</v>
      </c>
      <c r="F4" s="562"/>
      <c r="G4" s="561" t="s">
        <v>21</v>
      </c>
      <c r="H4" s="562"/>
      <c r="I4" s="561" t="s">
        <v>22</v>
      </c>
      <c r="J4" s="562"/>
      <c r="K4" s="561" t="s">
        <v>23</v>
      </c>
      <c r="L4" s="562"/>
      <c r="M4" s="175"/>
      <c r="AA4" s="178" t="s">
        <v>3362</v>
      </c>
      <c r="AB4" t="s">
        <v>4568</v>
      </c>
      <c r="AH4" s="192" t="s">
        <v>933</v>
      </c>
      <c r="AI4" s="192" t="s">
        <v>1141</v>
      </c>
    </row>
    <row r="5" spans="1:35" ht="15.75" thickBot="1">
      <c r="B5" s="176" t="s">
        <v>24</v>
      </c>
      <c r="C5" s="171" t="s">
        <v>25</v>
      </c>
      <c r="D5" s="172" t="s">
        <v>26</v>
      </c>
      <c r="E5" s="171" t="s">
        <v>25</v>
      </c>
      <c r="F5" s="172" t="s">
        <v>26</v>
      </c>
      <c r="G5" s="171" t="s">
        <v>25</v>
      </c>
      <c r="H5" s="172" t="s">
        <v>26</v>
      </c>
      <c r="I5" s="171" t="s">
        <v>25</v>
      </c>
      <c r="J5" s="172" t="s">
        <v>26</v>
      </c>
      <c r="K5" s="171" t="s">
        <v>25</v>
      </c>
      <c r="L5" s="172" t="s">
        <v>26</v>
      </c>
      <c r="M5" s="175" t="s">
        <v>42</v>
      </c>
      <c r="N5" s="133" t="s">
        <v>43</v>
      </c>
      <c r="O5" s="133" t="s">
        <v>44</v>
      </c>
      <c r="P5" s="133" t="s">
        <v>45</v>
      </c>
      <c r="Q5" s="133" t="s">
        <v>1405</v>
      </c>
      <c r="R5" s="133" t="s">
        <v>3659</v>
      </c>
      <c r="S5" s="133" t="s">
        <v>3456</v>
      </c>
      <c r="U5" s="133" t="s">
        <v>3457</v>
      </c>
      <c r="V5" s="133" t="s">
        <v>3458</v>
      </c>
      <c r="AA5" s="178" t="s">
        <v>3234</v>
      </c>
      <c r="AB5" t="s">
        <v>4448</v>
      </c>
      <c r="AH5" s="192" t="s">
        <v>547</v>
      </c>
      <c r="AI5" s="192" t="s">
        <v>3141</v>
      </c>
    </row>
    <row r="6" spans="1:35">
      <c r="A6" s="563" t="s">
        <v>935</v>
      </c>
      <c r="B6" s="177" t="str">
        <f>IF($D$1=1,M6,
IF($D$1=2,N6,
IF($D$1=3,O6,
IF($D$1=4,P6,
IF($D$1=5,Q6,
IF($D$1=6,R6,0))))))</f>
        <v>BRW (elox.) - maksymalna zalecana długość profilu 2500 mm</v>
      </c>
      <c r="C6" s="170">
        <f>IF($D$1=1,E6,IF(OR($D$1=2,$D$1=5,),G6,IF($D$1=3,I6,IF($D$1=4,K6,IF($D$1=6,G6*1.3,0)))))</f>
        <v>49.03416</v>
      </c>
      <c r="D6" s="170">
        <f>IF($D$1=1,F6,IF(OR($D$1=2,$D$1=5),H6,IF($D$1=3,J6,IF($D$1=4,L6,IF($D$1=6,H6*1.3,0)))))</f>
        <v>31.920480000000005</v>
      </c>
      <c r="E6" s="170">
        <v>373.07692800000001</v>
      </c>
      <c r="F6" s="170">
        <v>211.47318000000001</v>
      </c>
      <c r="G6" s="170">
        <v>12.894191137724553</v>
      </c>
      <c r="H6" s="170">
        <v>7.3270562874251493</v>
      </c>
      <c r="I6" s="170">
        <v>49.03416</v>
      </c>
      <c r="J6" s="170">
        <v>31.920480000000005</v>
      </c>
      <c r="K6" s="170">
        <v>4704.8562580645166</v>
      </c>
      <c r="L6" s="170">
        <v>2844.5266451612906</v>
      </c>
      <c r="M6" s="178" t="s">
        <v>3231</v>
      </c>
      <c r="N6" s="178" t="s">
        <v>3276</v>
      </c>
      <c r="O6" s="178" t="s">
        <v>3328</v>
      </c>
      <c r="P6" s="178" t="s">
        <v>3403</v>
      </c>
      <c r="Q6" s="202" t="s">
        <v>3041</v>
      </c>
      <c r="R6" s="318" t="s">
        <v>3660</v>
      </c>
      <c r="S6" s="133">
        <v>2500</v>
      </c>
      <c r="T6" s="133">
        <v>2500</v>
      </c>
      <c r="U6" s="269">
        <v>2700</v>
      </c>
      <c r="V6" s="269">
        <v>700</v>
      </c>
      <c r="AA6" s="179" t="s">
        <v>3235</v>
      </c>
      <c r="AB6" t="s">
        <v>4449</v>
      </c>
      <c r="AH6" s="192" t="s">
        <v>389</v>
      </c>
      <c r="AI6" s="192" t="s">
        <v>3142</v>
      </c>
    </row>
    <row r="7" spans="1:35">
      <c r="A7" s="564"/>
      <c r="B7" s="177" t="str">
        <f t="shared" ref="B7:B70" si="0">IF($D$1=1,M7,
IF($D$1=2,N7,
IF($D$1=3,O7,
IF($D$1=4,P7,
IF($D$1=5,Q7,
IF($D$1=6,R7,0))))))</f>
        <v>BRW antracyt RAL 7021 - maksymalna zalecana długość profilu 2500 mm</v>
      </c>
      <c r="C7" s="170">
        <f t="shared" ref="C7:C60" si="1">IF($D$1=1,E7,IF(OR($D$1=2,$D$1=5,),G7,IF($D$1=3,I7,IF($D$1=4,K7,IF($D$1=6,G7*1.3,0)))))</f>
        <v>88.153039259999986</v>
      </c>
      <c r="D7" s="170">
        <f t="shared" ref="D7:D60" si="2">IF($D$1=1,F7,IF(OR($D$1=2,$D$1=5),H7,IF($D$1=3,J7,IF($D$1=4,L7,IF($D$1=6,H7*1.3,0)))))</f>
        <v>31.920480000000005</v>
      </c>
      <c r="E7" s="170">
        <v>670.71333700799994</v>
      </c>
      <c r="F7" s="170">
        <v>211.47318000000001</v>
      </c>
      <c r="G7" s="170">
        <v>23.181025994730536</v>
      </c>
      <c r="H7" s="170">
        <v>7.3270562874251493</v>
      </c>
      <c r="I7" s="170">
        <v>88.153039259999986</v>
      </c>
      <c r="J7" s="170">
        <v>31.920480000000005</v>
      </c>
      <c r="K7" s="170">
        <v>8458.3355446451606</v>
      </c>
      <c r="L7" s="170">
        <v>2844.5266451612906</v>
      </c>
      <c r="M7" s="178" t="s">
        <v>3232</v>
      </c>
      <c r="N7" s="178" t="s">
        <v>3277</v>
      </c>
      <c r="O7" s="178" t="s">
        <v>3329</v>
      </c>
      <c r="P7" s="178" t="s">
        <v>3404</v>
      </c>
      <c r="Q7" s="202" t="s">
        <v>3097</v>
      </c>
      <c r="R7" s="318" t="s">
        <v>3661</v>
      </c>
      <c r="S7" s="133">
        <v>2500</v>
      </c>
      <c r="T7" s="133">
        <v>2500</v>
      </c>
      <c r="U7" s="269">
        <v>2700</v>
      </c>
      <c r="V7" s="269">
        <v>700</v>
      </c>
      <c r="AA7" s="179" t="s">
        <v>3236</v>
      </c>
      <c r="AB7" t="s">
        <v>4450</v>
      </c>
      <c r="AH7" s="192" t="s">
        <v>3521</v>
      </c>
      <c r="AI7" s="192" t="s">
        <v>3143</v>
      </c>
    </row>
    <row r="8" spans="1:35">
      <c r="A8" s="564"/>
      <c r="B8" s="177" t="str">
        <f t="shared" si="0"/>
        <v>BRW bialy matowy RAL 9003 - maksymalna zalecana długość profilu 2500 mm</v>
      </c>
      <c r="C8" s="170">
        <f t="shared" si="1"/>
        <v>79.003980720000015</v>
      </c>
      <c r="D8" s="170">
        <f t="shared" si="2"/>
        <v>31.920480000000005</v>
      </c>
      <c r="E8" s="170">
        <v>601.10262777600008</v>
      </c>
      <c r="F8" s="170">
        <v>211.47318000000001</v>
      </c>
      <c r="G8" s="170">
        <v>20.775158135568866</v>
      </c>
      <c r="H8" s="170">
        <v>7.3270562874251493</v>
      </c>
      <c r="I8" s="170">
        <v>79.003980720000015</v>
      </c>
      <c r="J8" s="170">
        <v>31.920480000000005</v>
      </c>
      <c r="K8" s="170">
        <v>7580.4780402580664</v>
      </c>
      <c r="L8" s="170">
        <v>2844.5266451612906</v>
      </c>
      <c r="M8" s="178" t="s">
        <v>3233</v>
      </c>
      <c r="N8" s="178" t="s">
        <v>3278</v>
      </c>
      <c r="O8" s="178" t="s">
        <v>3330</v>
      </c>
      <c r="P8" s="178" t="s">
        <v>3405</v>
      </c>
      <c r="Q8" s="202" t="s">
        <v>3098</v>
      </c>
      <c r="R8" s="318" t="s">
        <v>3662</v>
      </c>
      <c r="S8" s="133">
        <v>2500</v>
      </c>
      <c r="T8" s="133">
        <v>2500</v>
      </c>
      <c r="U8" s="269">
        <v>2700</v>
      </c>
      <c r="V8" s="269">
        <v>700</v>
      </c>
      <c r="AA8" s="180" t="s">
        <v>3462</v>
      </c>
      <c r="AB8" t="s">
        <v>1603</v>
      </c>
      <c r="AH8" s="192" t="s">
        <v>3522</v>
      </c>
      <c r="AI8" s="192" t="s">
        <v>3144</v>
      </c>
    </row>
    <row r="9" spans="1:35">
      <c r="A9" s="564"/>
      <c r="B9" s="177" t="str">
        <f t="shared" si="0"/>
        <v>BRW bialy połysk RAL 9003 - maksymalna zalecana długość profilu 2500 mm</v>
      </c>
      <c r="C9" s="170">
        <f t="shared" si="1"/>
        <v>79.003980720000015</v>
      </c>
      <c r="D9" s="170">
        <f t="shared" si="2"/>
        <v>31.920480000000005</v>
      </c>
      <c r="E9" s="170">
        <v>601.10262777600008</v>
      </c>
      <c r="F9" s="170">
        <v>211.47318000000001</v>
      </c>
      <c r="G9" s="170">
        <v>20.775158135568866</v>
      </c>
      <c r="H9" s="170">
        <v>7.3270562874251493</v>
      </c>
      <c r="I9" s="170">
        <v>79.003980720000015</v>
      </c>
      <c r="J9" s="170">
        <v>31.920480000000005</v>
      </c>
      <c r="K9" s="170">
        <v>7580.4780402580664</v>
      </c>
      <c r="L9" s="170">
        <v>2844.5266451612906</v>
      </c>
      <c r="M9" s="178" t="s">
        <v>3362</v>
      </c>
      <c r="N9" s="178" t="s">
        <v>3363</v>
      </c>
      <c r="O9" s="178" t="s">
        <v>3364</v>
      </c>
      <c r="P9" s="178" t="s">
        <v>3406</v>
      </c>
      <c r="Q9" s="202" t="s">
        <v>3365</v>
      </c>
      <c r="R9" s="318" t="s">
        <v>3663</v>
      </c>
      <c r="S9" s="133">
        <v>2500</v>
      </c>
      <c r="T9" s="133">
        <v>2500</v>
      </c>
      <c r="U9" s="269">
        <v>2700</v>
      </c>
      <c r="V9" s="269">
        <v>700</v>
      </c>
      <c r="AA9" s="179" t="s">
        <v>3237</v>
      </c>
      <c r="AB9" t="s">
        <v>4451</v>
      </c>
      <c r="AH9" s="192" t="s">
        <v>3523</v>
      </c>
      <c r="AI9" s="192" t="s">
        <v>3145</v>
      </c>
    </row>
    <row r="10" spans="1:35" ht="15.75" customHeight="1">
      <c r="A10" s="564"/>
      <c r="B10" s="177" t="str">
        <f t="shared" si="0"/>
        <v>BRW brąz - maksymalna zalecana długość profilu 2500 mm</v>
      </c>
      <c r="C10" s="170">
        <f t="shared" si="1"/>
        <v>50.671170000000004</v>
      </c>
      <c r="D10" s="170">
        <f t="shared" si="2"/>
        <v>31.920480000000005</v>
      </c>
      <c r="E10" s="170">
        <v>385.53213599999998</v>
      </c>
      <c r="F10" s="170">
        <v>211.47318000000001</v>
      </c>
      <c r="G10" s="170">
        <v>13.32466491017964</v>
      </c>
      <c r="H10" s="170">
        <v>7.3270562874251493</v>
      </c>
      <c r="I10" s="170">
        <v>50.671170000000004</v>
      </c>
      <c r="J10" s="170">
        <v>31.920480000000005</v>
      </c>
      <c r="K10" s="170">
        <v>4861.9283225806448</v>
      </c>
      <c r="L10" s="170">
        <v>2844.5266451612906</v>
      </c>
      <c r="M10" s="178" t="s">
        <v>3234</v>
      </c>
      <c r="N10" s="178" t="s">
        <v>3279</v>
      </c>
      <c r="O10" s="178" t="s">
        <v>3331</v>
      </c>
      <c r="P10" s="178" t="s">
        <v>3407</v>
      </c>
      <c r="Q10" s="202" t="s">
        <v>3513</v>
      </c>
      <c r="R10" s="318" t="s">
        <v>3664</v>
      </c>
      <c r="S10" s="133">
        <v>2500</v>
      </c>
      <c r="T10" s="133">
        <v>2500</v>
      </c>
      <c r="U10" s="269">
        <v>2700</v>
      </c>
      <c r="V10" s="269">
        <v>700</v>
      </c>
      <c r="AA10" s="179" t="s">
        <v>4434</v>
      </c>
      <c r="AB10" t="s">
        <v>4569</v>
      </c>
      <c r="AH10" s="192" t="s">
        <v>4621</v>
      </c>
      <c r="AI10" s="192" t="s">
        <v>4621</v>
      </c>
    </row>
    <row r="11" spans="1:35">
      <c r="A11" s="564"/>
      <c r="B11" s="177" t="str">
        <f t="shared" si="0"/>
        <v>BRW szczotkowany - maksymalna zalecana długość profilu 2500 mm</v>
      </c>
      <c r="C11" s="170">
        <f t="shared" si="1"/>
        <v>71.118566999999999</v>
      </c>
      <c r="D11" s="170">
        <f t="shared" si="2"/>
        <v>31.920480000000005</v>
      </c>
      <c r="E11" s="170">
        <v>541.10637359999998</v>
      </c>
      <c r="F11" s="170">
        <v>211.47318000000001</v>
      </c>
      <c r="G11" s="170">
        <v>18.701582658682636</v>
      </c>
      <c r="H11" s="170">
        <v>7.3270562874251493</v>
      </c>
      <c r="I11" s="170">
        <v>71.118566999999999</v>
      </c>
      <c r="J11" s="170">
        <v>31.920480000000005</v>
      </c>
      <c r="K11" s="170">
        <v>6823.8679935483869</v>
      </c>
      <c r="L11" s="170">
        <v>2844.5266451612906</v>
      </c>
      <c r="M11" s="179" t="s">
        <v>3235</v>
      </c>
      <c r="N11" s="179" t="s">
        <v>3280</v>
      </c>
      <c r="O11" s="178" t="s">
        <v>3332</v>
      </c>
      <c r="P11" s="179" t="s">
        <v>3408</v>
      </c>
      <c r="Q11" s="202" t="s">
        <v>3099</v>
      </c>
      <c r="R11" s="318" t="s">
        <v>3665</v>
      </c>
      <c r="S11" s="133">
        <v>2500</v>
      </c>
      <c r="T11" s="133">
        <v>2500</v>
      </c>
      <c r="U11" s="269">
        <v>2700</v>
      </c>
      <c r="V11" s="269">
        <v>700</v>
      </c>
      <c r="AA11" s="179" t="s">
        <v>4427</v>
      </c>
      <c r="AB11" t="s">
        <v>4443</v>
      </c>
      <c r="AH11" s="192" t="s">
        <v>812</v>
      </c>
      <c r="AI11" s="192" t="s">
        <v>3146</v>
      </c>
    </row>
    <row r="12" spans="1:35">
      <c r="A12" s="564"/>
      <c r="B12" s="177" t="str">
        <f t="shared" si="0"/>
        <v>BRW Czarny matowy - maksymalna zalecana długość profilu 2500 mm</v>
      </c>
      <c r="C12" s="170">
        <f t="shared" si="1"/>
        <v>48.644323200000002</v>
      </c>
      <c r="D12" s="170">
        <f t="shared" si="2"/>
        <v>32.289839999999998</v>
      </c>
      <c r="E12" s="170">
        <v>370.11085056000002</v>
      </c>
      <c r="F12" s="170">
        <v>213.92019000000002</v>
      </c>
      <c r="G12" s="170">
        <v>12.791678313772454</v>
      </c>
      <c r="H12" s="170">
        <v>7.4118395209580834</v>
      </c>
      <c r="I12" s="170">
        <v>48.644323200000002</v>
      </c>
      <c r="J12" s="170">
        <v>32.289839999999998</v>
      </c>
      <c r="K12" s="170">
        <v>4667.4511896774202</v>
      </c>
      <c r="L12" s="170">
        <v>2877.4413870967746</v>
      </c>
      <c r="M12" s="179" t="s">
        <v>3236</v>
      </c>
      <c r="N12" s="179" t="s">
        <v>3281</v>
      </c>
      <c r="O12" s="178" t="s">
        <v>3333</v>
      </c>
      <c r="P12" s="179" t="s">
        <v>3409</v>
      </c>
      <c r="Q12" s="202" t="s">
        <v>3100</v>
      </c>
      <c r="R12" s="318" t="s">
        <v>3666</v>
      </c>
      <c r="S12" s="133">
        <v>2500</v>
      </c>
      <c r="T12" s="133">
        <v>2500</v>
      </c>
      <c r="U12" s="269">
        <v>2700</v>
      </c>
      <c r="V12" s="269">
        <v>700</v>
      </c>
      <c r="AA12" s="179" t="s">
        <v>3366</v>
      </c>
      <c r="AB12" t="s">
        <v>555</v>
      </c>
      <c r="AH12" s="192" t="s">
        <v>813</v>
      </c>
      <c r="AI12" s="192" t="s">
        <v>3147</v>
      </c>
    </row>
    <row r="13" spans="1:35">
      <c r="A13" s="564"/>
      <c r="B13" s="177" t="str">
        <f t="shared" si="0"/>
        <v>BRW złota- maksymalna zalecana długość profilu 2500 mm</v>
      </c>
      <c r="C13" s="170">
        <f t="shared" si="1"/>
        <v>98.814492000000016</v>
      </c>
      <c r="D13" s="170">
        <f t="shared" si="2"/>
        <v>31.920480000000005</v>
      </c>
      <c r="E13" s="170">
        <v>751.83111360000009</v>
      </c>
      <c r="F13" s="170">
        <v>211.47318000000001</v>
      </c>
      <c r="G13" s="170">
        <v>25.984598227544911</v>
      </c>
      <c r="H13" s="170">
        <v>7.3270562874251493</v>
      </c>
      <c r="I13" s="170">
        <v>98.814492000000016</v>
      </c>
      <c r="J13" s="170">
        <v>31.920480000000005</v>
      </c>
      <c r="K13" s="170">
        <v>9481.3081548387108</v>
      </c>
      <c r="L13" s="170">
        <v>2844.5266451612906</v>
      </c>
      <c r="M13" s="180" t="s">
        <v>3462</v>
      </c>
      <c r="N13" s="180" t="s">
        <v>3463</v>
      </c>
      <c r="O13" s="179" t="s">
        <v>3464</v>
      </c>
      <c r="P13" s="179" t="s">
        <v>3465</v>
      </c>
      <c r="Q13" s="178" t="s">
        <v>3466</v>
      </c>
      <c r="R13" s="318" t="s">
        <v>3667</v>
      </c>
      <c r="S13" s="133">
        <v>2500</v>
      </c>
      <c r="T13" s="133">
        <v>2500</v>
      </c>
      <c r="U13" s="269">
        <v>2700</v>
      </c>
      <c r="V13" s="269">
        <v>700</v>
      </c>
      <c r="AA13" s="179" t="s">
        <v>3370</v>
      </c>
      <c r="AB13" t="s">
        <v>4570</v>
      </c>
      <c r="AH13" s="192" t="s">
        <v>390</v>
      </c>
      <c r="AI13" s="192" t="s">
        <v>3148</v>
      </c>
    </row>
    <row r="14" spans="1:35">
      <c r="A14" s="564"/>
      <c r="B14" s="177" t="str">
        <f t="shared" si="0"/>
        <v>BRW czarna szczotka - maksymalna zalecana długość profilu 2500 mm</v>
      </c>
      <c r="C14" s="170">
        <f t="shared" si="1"/>
        <v>54.706589999999998</v>
      </c>
      <c r="D14" s="170">
        <f t="shared" si="2"/>
        <v>32.289839999999998</v>
      </c>
      <c r="E14" s="170">
        <v>416.23567200000002</v>
      </c>
      <c r="F14" s="170">
        <v>213.92019000000002</v>
      </c>
      <c r="G14" s="170">
        <v>14.385832814371257</v>
      </c>
      <c r="H14" s="170">
        <v>7.4118395209580834</v>
      </c>
      <c r="I14" s="170">
        <v>54.706589999999998</v>
      </c>
      <c r="J14" s="170">
        <v>32.289839999999998</v>
      </c>
      <c r="K14" s="170">
        <v>5249.1292258064523</v>
      </c>
      <c r="L14" s="170">
        <v>2877.4413870967746</v>
      </c>
      <c r="M14" s="179" t="s">
        <v>3237</v>
      </c>
      <c r="N14" s="179" t="s">
        <v>3282</v>
      </c>
      <c r="O14" s="178" t="s">
        <v>3334</v>
      </c>
      <c r="P14" s="179" t="s">
        <v>3410</v>
      </c>
      <c r="Q14" s="202" t="s">
        <v>3101</v>
      </c>
      <c r="R14" s="318" t="s">
        <v>3668</v>
      </c>
      <c r="S14" s="133">
        <v>2500</v>
      </c>
      <c r="T14" s="133">
        <v>2500</v>
      </c>
      <c r="U14" s="269">
        <v>2700</v>
      </c>
      <c r="V14" s="269">
        <v>700</v>
      </c>
      <c r="AA14" s="179" t="s">
        <v>3374</v>
      </c>
      <c r="AB14" t="s">
        <v>4571</v>
      </c>
      <c r="AH14" s="192" t="s">
        <v>3545</v>
      </c>
      <c r="AI14" s="192" t="s">
        <v>3149</v>
      </c>
    </row>
    <row r="15" spans="1:35">
      <c r="A15" s="564"/>
      <c r="B15" s="177" t="str">
        <f t="shared" si="0"/>
        <v>BRW INOX ACIER gratta - maksymalna zalecana długość profilu 2500 mm</v>
      </c>
      <c r="C15" s="170">
        <f t="shared" si="1"/>
        <v>68.726501999999996</v>
      </c>
      <c r="D15" s="170">
        <f t="shared" si="2"/>
        <v>31.920480000000005</v>
      </c>
      <c r="E15" s="170">
        <v>522.90632160000007</v>
      </c>
      <c r="F15" s="170">
        <v>211.47318000000001</v>
      </c>
      <c r="G15" s="170">
        <v>18.072557029940121</v>
      </c>
      <c r="H15" s="170">
        <v>7.3270562874251493</v>
      </c>
      <c r="I15" s="170">
        <v>68.726501999999996</v>
      </c>
      <c r="J15" s="170">
        <v>31.920480000000005</v>
      </c>
      <c r="K15" s="170">
        <v>6594.3479612903238</v>
      </c>
      <c r="L15" s="170">
        <v>2844.5266451612906</v>
      </c>
      <c r="M15" s="179" t="s">
        <v>4434</v>
      </c>
      <c r="N15" s="179" t="s">
        <v>4435</v>
      </c>
      <c r="O15" s="178" t="s">
        <v>4436</v>
      </c>
      <c r="P15" s="179" t="s">
        <v>4437</v>
      </c>
      <c r="Q15" s="202" t="s">
        <v>4438</v>
      </c>
      <c r="R15" s="318" t="s">
        <v>4439</v>
      </c>
      <c r="S15" s="133">
        <v>2500</v>
      </c>
      <c r="T15" s="133">
        <v>2500</v>
      </c>
      <c r="U15" s="269">
        <v>2700</v>
      </c>
      <c r="V15" s="269">
        <v>700</v>
      </c>
      <c r="AA15" s="179" t="s">
        <v>3238</v>
      </c>
      <c r="AB15" t="s">
        <v>4572</v>
      </c>
      <c r="AH15" s="192" t="s">
        <v>397</v>
      </c>
      <c r="AI15" s="192" t="s">
        <v>3150</v>
      </c>
    </row>
    <row r="16" spans="1:35">
      <c r="A16" s="564"/>
      <c r="B16" s="177" t="str">
        <f t="shared" si="0"/>
        <v>BRW INOX LIJA - maksymalna zalecana długość profilu 2500 mm</v>
      </c>
      <c r="C16" s="170">
        <f t="shared" si="1"/>
        <v>58.97043</v>
      </c>
      <c r="D16" s="170">
        <f t="shared" si="2"/>
        <v>31.920480000000005</v>
      </c>
      <c r="E16" s="170">
        <v>448.67714399999994</v>
      </c>
      <c r="F16" s="170">
        <v>211.47318000000001</v>
      </c>
      <c r="G16" s="170">
        <v>15.507066826347303</v>
      </c>
      <c r="H16" s="170">
        <v>7.3270562874251493</v>
      </c>
      <c r="I16" s="170">
        <v>58.97043</v>
      </c>
      <c r="J16" s="170">
        <v>31.920480000000005</v>
      </c>
      <c r="K16" s="170">
        <v>5658.2471612903219</v>
      </c>
      <c r="L16" s="170">
        <v>2844.5266451612906</v>
      </c>
      <c r="M16" s="179" t="s">
        <v>4427</v>
      </c>
      <c r="N16" s="179" t="s">
        <v>4428</v>
      </c>
      <c r="O16" s="178" t="s">
        <v>4429</v>
      </c>
      <c r="P16" s="179" t="s">
        <v>4430</v>
      </c>
      <c r="Q16" s="202" t="s">
        <v>4431</v>
      </c>
      <c r="R16" s="318" t="s">
        <v>4432</v>
      </c>
      <c r="S16" s="133">
        <v>2500</v>
      </c>
      <c r="T16" s="133">
        <v>2500</v>
      </c>
      <c r="U16" s="269">
        <v>2700</v>
      </c>
      <c r="V16" s="269">
        <v>700</v>
      </c>
      <c r="AA16" s="178" t="s">
        <v>3239</v>
      </c>
      <c r="AB16" t="s">
        <v>4573</v>
      </c>
      <c r="AH16" s="192" t="s">
        <v>398</v>
      </c>
      <c r="AI16" s="192" t="s">
        <v>3151</v>
      </c>
    </row>
    <row r="17" spans="1:35">
      <c r="A17" s="564"/>
      <c r="B17" s="177" t="str">
        <f t="shared" si="0"/>
        <v>Corleone (elox.)- maksymalna zalecana długość profilu 1500 mm</v>
      </c>
      <c r="C17" s="170">
        <f t="shared" si="1"/>
        <v>61.184376</v>
      </c>
      <c r="D17" s="170">
        <f t="shared" si="2"/>
        <v>41.633999999999993</v>
      </c>
      <c r="E17" s="170">
        <v>452.05646400000001</v>
      </c>
      <c r="F17" s="170">
        <v>264.79223999999994</v>
      </c>
      <c r="G17" s="170">
        <v>15.623862035928143</v>
      </c>
      <c r="H17" s="170">
        <v>9.1744383233532911</v>
      </c>
      <c r="I17" s="170">
        <v>61.184376</v>
      </c>
      <c r="J17" s="170">
        <v>41.633999999999993</v>
      </c>
      <c r="K17" s="170">
        <v>5700.8636129032257</v>
      </c>
      <c r="L17" s="170">
        <v>3561.7215483870959</v>
      </c>
      <c r="M17" s="179" t="s">
        <v>3366</v>
      </c>
      <c r="N17" s="179" t="s">
        <v>3367</v>
      </c>
      <c r="O17" s="178" t="s">
        <v>3368</v>
      </c>
      <c r="P17" s="179" t="s">
        <v>3411</v>
      </c>
      <c r="Q17" s="202" t="s">
        <v>3369</v>
      </c>
      <c r="R17" s="318" t="s">
        <v>3669</v>
      </c>
      <c r="S17" s="133">
        <v>1500</v>
      </c>
      <c r="T17" s="133">
        <v>1500</v>
      </c>
      <c r="U17" s="269">
        <v>1500</v>
      </c>
      <c r="V17" s="269">
        <v>700</v>
      </c>
      <c r="AA17" s="179" t="s">
        <v>3240</v>
      </c>
      <c r="AB17" t="s">
        <v>4574</v>
      </c>
      <c r="AH17" s="192" t="s">
        <v>391</v>
      </c>
      <c r="AI17" s="192" t="s">
        <v>3152</v>
      </c>
    </row>
    <row r="18" spans="1:35">
      <c r="A18" s="564"/>
      <c r="B18" s="177" t="str">
        <f t="shared" si="0"/>
        <v>Corleone czarny matowy - maksymalna zalecana długość profilu 1500 mm</v>
      </c>
      <c r="C18" s="170">
        <f t="shared" si="1"/>
        <v>91.709133120000004</v>
      </c>
      <c r="D18" s="170">
        <f t="shared" si="2"/>
        <v>42.018750000000004</v>
      </c>
      <c r="E18" s="170">
        <v>677.58648768000012</v>
      </c>
      <c r="F18" s="170">
        <v>267.23924999999997</v>
      </c>
      <c r="G18" s="170">
        <v>23.418574102994015</v>
      </c>
      <c r="H18" s="170">
        <v>9.2592215568862262</v>
      </c>
      <c r="I18" s="170">
        <v>91.709133120000004</v>
      </c>
      <c r="J18" s="170">
        <v>42.018750000000004</v>
      </c>
      <c r="K18" s="170">
        <v>8545.0125367741948</v>
      </c>
      <c r="L18" s="170">
        <v>3594.6362903225804</v>
      </c>
      <c r="M18" s="179" t="s">
        <v>3370</v>
      </c>
      <c r="N18" s="179" t="s">
        <v>3371</v>
      </c>
      <c r="O18" s="178" t="s">
        <v>3372</v>
      </c>
      <c r="P18" s="179" t="s">
        <v>3412</v>
      </c>
      <c r="Q18" s="202" t="s">
        <v>3373</v>
      </c>
      <c r="R18" s="318" t="s">
        <v>3670</v>
      </c>
      <c r="S18" s="133">
        <v>1500</v>
      </c>
      <c r="T18" s="133">
        <v>1500</v>
      </c>
      <c r="U18" s="269">
        <v>1500</v>
      </c>
      <c r="V18" s="269">
        <v>700</v>
      </c>
      <c r="AA18" s="179" t="s">
        <v>3241</v>
      </c>
      <c r="AB18" t="s">
        <v>4575</v>
      </c>
      <c r="AH18" s="192" t="s">
        <v>857</v>
      </c>
      <c r="AI18" s="192" t="s">
        <v>3153</v>
      </c>
    </row>
    <row r="19" spans="1:35">
      <c r="A19" s="564"/>
      <c r="B19" s="177" t="str">
        <f t="shared" si="0"/>
        <v>Imola (elox.) - maksymalna zalecana długość profilu 2500 mm</v>
      </c>
      <c r="C19" s="170">
        <f t="shared" si="1"/>
        <v>59.9474898</v>
      </c>
      <c r="D19" s="170">
        <f t="shared" si="2"/>
        <v>41.633999999999993</v>
      </c>
      <c r="E19" s="170">
        <v>442.91781719999994</v>
      </c>
      <c r="F19" s="170">
        <v>264.79223999999994</v>
      </c>
      <c r="G19" s="170">
        <v>15.308014419161674</v>
      </c>
      <c r="H19" s="170">
        <v>9.1744383233532911</v>
      </c>
      <c r="I19" s="170">
        <v>59.9474898</v>
      </c>
      <c r="J19" s="170">
        <v>41.633999999999993</v>
      </c>
      <c r="K19" s="170">
        <v>5585.6165516129022</v>
      </c>
      <c r="L19" s="170">
        <v>3561.7215483870959</v>
      </c>
      <c r="M19" s="179" t="s">
        <v>3374</v>
      </c>
      <c r="N19" s="179" t="s">
        <v>3375</v>
      </c>
      <c r="O19" s="178" t="s">
        <v>3376</v>
      </c>
      <c r="P19" s="179" t="s">
        <v>3413</v>
      </c>
      <c r="Q19" s="202" t="s">
        <v>3377</v>
      </c>
      <c r="R19" s="318" t="s">
        <v>3671</v>
      </c>
      <c r="S19" s="133">
        <v>2500</v>
      </c>
      <c r="T19" s="133">
        <v>2500</v>
      </c>
      <c r="U19" s="269">
        <v>2700</v>
      </c>
      <c r="V19" s="269">
        <v>700</v>
      </c>
      <c r="AA19" s="180" t="s">
        <v>3378</v>
      </c>
      <c r="AB19" t="s">
        <v>4576</v>
      </c>
      <c r="AH19" s="192" t="s">
        <v>858</v>
      </c>
      <c r="AI19" s="192" t="s">
        <v>3154</v>
      </c>
    </row>
    <row r="20" spans="1:35">
      <c r="A20" s="564"/>
      <c r="B20" s="177" t="str">
        <f t="shared" si="0"/>
        <v>Imola Czarny matowy - maksymalna zalecana długość profilu 2500 mm</v>
      </c>
      <c r="C20" s="170">
        <f t="shared" si="1"/>
        <v>76.433425199999988</v>
      </c>
      <c r="D20" s="170">
        <f t="shared" si="2"/>
        <v>41.633999999999993</v>
      </c>
      <c r="E20" s="170">
        <v>564.72299279999993</v>
      </c>
      <c r="F20" s="170">
        <v>264.79223999999994</v>
      </c>
      <c r="G20" s="170">
        <v>19.517814323353292</v>
      </c>
      <c r="H20" s="170">
        <v>9.1744383233532911</v>
      </c>
      <c r="I20" s="170">
        <v>76.433425199999988</v>
      </c>
      <c r="J20" s="170">
        <v>41.633999999999993</v>
      </c>
      <c r="K20" s="170">
        <v>7121.6961096774194</v>
      </c>
      <c r="L20" s="170">
        <v>3561.7215483870959</v>
      </c>
      <c r="M20" s="179" t="s">
        <v>3238</v>
      </c>
      <c r="N20" s="179" t="s">
        <v>3283</v>
      </c>
      <c r="O20" s="178" t="s">
        <v>3335</v>
      </c>
      <c r="P20" s="179" t="s">
        <v>3414</v>
      </c>
      <c r="Q20" s="202" t="s">
        <v>3102</v>
      </c>
      <c r="R20" s="318" t="s">
        <v>3672</v>
      </c>
      <c r="S20" s="133">
        <v>2500</v>
      </c>
      <c r="T20" s="133">
        <v>2500</v>
      </c>
      <c r="U20" s="269">
        <v>2700</v>
      </c>
      <c r="V20" s="269">
        <v>700</v>
      </c>
      <c r="AA20" s="178" t="s">
        <v>3242</v>
      </c>
      <c r="AB20" t="s">
        <v>4577</v>
      </c>
      <c r="AH20" s="192" t="s">
        <v>3546</v>
      </c>
      <c r="AI20" s="192" t="s">
        <v>3155</v>
      </c>
    </row>
    <row r="21" spans="1:35">
      <c r="A21" s="564"/>
      <c r="B21" s="177" t="str">
        <f t="shared" si="0"/>
        <v>Imola bialy matowy RAL 9003 - maksymalna zalecana długość profilu 2500 mm</v>
      </c>
      <c r="C21" s="170">
        <f t="shared" si="1"/>
        <v>126.89529549840002</v>
      </c>
      <c r="D21" s="170">
        <f t="shared" si="2"/>
        <v>41.633999999999993</v>
      </c>
      <c r="E21" s="170">
        <v>937.55697665760022</v>
      </c>
      <c r="F21" s="170">
        <v>264.79223999999994</v>
      </c>
      <c r="G21" s="170">
        <v>32.40360888661079</v>
      </c>
      <c r="H21" s="170">
        <v>9.1744383233532911</v>
      </c>
      <c r="I21" s="170">
        <v>126.89529549840002</v>
      </c>
      <c r="J21" s="170">
        <v>41.633999999999993</v>
      </c>
      <c r="K21" s="170">
        <v>11823.488610154842</v>
      </c>
      <c r="L21" s="170">
        <v>3561.7215483870959</v>
      </c>
      <c r="M21" s="178" t="s">
        <v>3239</v>
      </c>
      <c r="N21" s="178" t="s">
        <v>3284</v>
      </c>
      <c r="O21" s="178" t="s">
        <v>3336</v>
      </c>
      <c r="P21" s="178" t="s">
        <v>3415</v>
      </c>
      <c r="Q21" s="202" t="s">
        <v>3103</v>
      </c>
      <c r="R21" s="318" t="s">
        <v>3673</v>
      </c>
      <c r="S21" s="133">
        <v>2500</v>
      </c>
      <c r="T21" s="133">
        <v>2500</v>
      </c>
      <c r="U21" s="269">
        <v>2700</v>
      </c>
      <c r="V21" s="269">
        <v>700</v>
      </c>
      <c r="AA21" s="178" t="s">
        <v>3243</v>
      </c>
      <c r="AB21" t="s">
        <v>4444</v>
      </c>
      <c r="AH21" s="192" t="s">
        <v>862</v>
      </c>
      <c r="AI21" s="192" t="s">
        <v>3156</v>
      </c>
    </row>
    <row r="22" spans="1:35">
      <c r="A22" s="564"/>
      <c r="B22" s="177" t="str">
        <f t="shared" si="0"/>
        <v>Modena (elox.) - maksymalna zalecana długość profilu 2500 mm</v>
      </c>
      <c r="C22" s="170">
        <f t="shared" si="1"/>
        <v>78.248831759999987</v>
      </c>
      <c r="D22" s="170">
        <f t="shared" si="2"/>
        <v>41.633999999999993</v>
      </c>
      <c r="E22" s="170">
        <v>578.13599663999992</v>
      </c>
      <c r="F22" s="170">
        <v>264.79223999999994</v>
      </c>
      <c r="G22" s="170">
        <v>19.981391195209579</v>
      </c>
      <c r="H22" s="170">
        <v>9.1744383233532911</v>
      </c>
      <c r="I22" s="170">
        <v>78.248831759999987</v>
      </c>
      <c r="J22" s="170">
        <v>41.633999999999993</v>
      </c>
      <c r="K22" s="170">
        <v>7290.846894193548</v>
      </c>
      <c r="L22" s="170">
        <v>3561.7215483870959</v>
      </c>
      <c r="M22" s="179" t="s">
        <v>3240</v>
      </c>
      <c r="N22" s="179" t="s">
        <v>3285</v>
      </c>
      <c r="O22" s="178" t="s">
        <v>3337</v>
      </c>
      <c r="P22" s="179" t="s">
        <v>3416</v>
      </c>
      <c r="Q22" s="202" t="s">
        <v>3042</v>
      </c>
      <c r="R22" s="318" t="s">
        <v>3674</v>
      </c>
      <c r="S22" s="133">
        <v>2500</v>
      </c>
      <c r="T22" s="133">
        <v>2500</v>
      </c>
      <c r="U22" s="269">
        <v>2700</v>
      </c>
      <c r="V22" s="269">
        <v>700</v>
      </c>
      <c r="AA22" s="179" t="s">
        <v>3244</v>
      </c>
      <c r="AB22" t="s">
        <v>4578</v>
      </c>
      <c r="AH22" s="192" t="s">
        <v>394</v>
      </c>
      <c r="AI22" s="192" t="s">
        <v>3157</v>
      </c>
    </row>
    <row r="23" spans="1:35">
      <c r="A23" s="564"/>
      <c r="B23" s="177" t="str">
        <f t="shared" si="0"/>
        <v>Modena Czarny matowy - maksymalna zalecana długość profilu 2500 mm</v>
      </c>
      <c r="C23" s="170">
        <f t="shared" si="1"/>
        <v>81.823138847999985</v>
      </c>
      <c r="D23" s="170">
        <f t="shared" si="2"/>
        <v>42.018750000000004</v>
      </c>
      <c r="E23" s="170">
        <v>604.54451347199995</v>
      </c>
      <c r="F23" s="170">
        <v>267.23924999999997</v>
      </c>
      <c r="G23" s="170">
        <v>20.894115725029938</v>
      </c>
      <c r="H23" s="170">
        <v>9.2592215568862262</v>
      </c>
      <c r="I23" s="170">
        <v>81.823138847999985</v>
      </c>
      <c r="J23" s="170">
        <v>42.018750000000004</v>
      </c>
      <c r="K23" s="170">
        <v>7623.8835050322587</v>
      </c>
      <c r="L23" s="170">
        <v>3594.6362903225804</v>
      </c>
      <c r="M23" s="179" t="s">
        <v>3241</v>
      </c>
      <c r="N23" s="179" t="s">
        <v>3286</v>
      </c>
      <c r="O23" s="178" t="s">
        <v>3338</v>
      </c>
      <c r="P23" s="179" t="s">
        <v>3417</v>
      </c>
      <c r="Q23" s="202" t="s">
        <v>3104</v>
      </c>
      <c r="R23" s="318" t="s">
        <v>3675</v>
      </c>
      <c r="S23" s="133">
        <v>2500</v>
      </c>
      <c r="T23" s="133">
        <v>2500</v>
      </c>
      <c r="U23" s="269">
        <v>2700</v>
      </c>
      <c r="V23" s="269">
        <v>700</v>
      </c>
      <c r="AA23" s="179" t="s">
        <v>3245</v>
      </c>
      <c r="AB23" t="s">
        <v>4579</v>
      </c>
      <c r="AH23" s="193" t="s">
        <v>3547</v>
      </c>
      <c r="AI23" s="192" t="s">
        <v>2567</v>
      </c>
    </row>
    <row r="24" spans="1:35">
      <c r="A24" s="564"/>
      <c r="B24" s="177" t="str">
        <f t="shared" si="0"/>
        <v>Verona złota - maksymalna zalecana długość profilu 2150 mm</v>
      </c>
      <c r="C24" s="170">
        <f t="shared" si="1"/>
        <v>91.780223039999996</v>
      </c>
      <c r="D24" s="170">
        <f t="shared" si="2"/>
        <v>33.250500000000002</v>
      </c>
      <c r="E24" s="170">
        <v>678.11173055999996</v>
      </c>
      <c r="F24" s="170">
        <v>211.47318000000001</v>
      </c>
      <c r="G24" s="170">
        <v>23.436727415568861</v>
      </c>
      <c r="H24" s="170">
        <v>7.3270562874251493</v>
      </c>
      <c r="I24" s="170">
        <v>91.780223039999996</v>
      </c>
      <c r="J24" s="170">
        <v>33.250500000000002</v>
      </c>
      <c r="K24" s="170">
        <v>8551.6363509677412</v>
      </c>
      <c r="L24" s="170">
        <v>2844.5266451612906</v>
      </c>
      <c r="M24" s="180" t="s">
        <v>3378</v>
      </c>
      <c r="N24" s="180" t="s">
        <v>3379</v>
      </c>
      <c r="O24" s="179" t="s">
        <v>3380</v>
      </c>
      <c r="P24" s="179" t="s">
        <v>3418</v>
      </c>
      <c r="Q24" s="178" t="s">
        <v>3381</v>
      </c>
      <c r="R24" s="318" t="s">
        <v>3676</v>
      </c>
      <c r="S24" s="133">
        <v>2150</v>
      </c>
      <c r="T24" s="133">
        <v>2150</v>
      </c>
      <c r="U24" s="269">
        <v>2150</v>
      </c>
      <c r="V24" s="269">
        <v>700</v>
      </c>
      <c r="AA24" s="179" t="s">
        <v>3246</v>
      </c>
      <c r="AB24" t="s">
        <v>4580</v>
      </c>
      <c r="AH24" s="193" t="s">
        <v>395</v>
      </c>
      <c r="AI24" s="192" t="s">
        <v>3158</v>
      </c>
    </row>
    <row r="25" spans="1:35">
      <c r="A25" s="564"/>
      <c r="B25" s="177" t="str">
        <f t="shared" si="0"/>
        <v>Modena czarna szczotka - maksymalna zalecana długość profilu 2500 mm</v>
      </c>
      <c r="C25" s="170">
        <f t="shared" si="1"/>
        <v>114.07305491999999</v>
      </c>
      <c r="D25" s="170">
        <f t="shared" si="2"/>
        <v>33.250500000000002</v>
      </c>
      <c r="E25" s="170">
        <v>842.82075287999987</v>
      </c>
      <c r="F25" s="170">
        <v>211.47318000000001</v>
      </c>
      <c r="G25" s="170">
        <v>29.129359300598797</v>
      </c>
      <c r="H25" s="170">
        <v>7.3270562874251493</v>
      </c>
      <c r="I25" s="170">
        <v>114.07305491999999</v>
      </c>
      <c r="J25" s="170">
        <v>33.250500000000002</v>
      </c>
      <c r="K25" s="170">
        <v>10628.774378709677</v>
      </c>
      <c r="L25" s="170">
        <v>2844.5266451612906</v>
      </c>
      <c r="M25" s="178" t="s">
        <v>3242</v>
      </c>
      <c r="N25" s="178" t="s">
        <v>3287</v>
      </c>
      <c r="O25" s="178" t="s">
        <v>3339</v>
      </c>
      <c r="P25" s="178" t="s">
        <v>3419</v>
      </c>
      <c r="Q25" s="202" t="s">
        <v>3105</v>
      </c>
      <c r="R25" s="318" t="s">
        <v>3677</v>
      </c>
      <c r="S25" s="133">
        <v>2500</v>
      </c>
      <c r="T25" s="133">
        <v>2500</v>
      </c>
      <c r="U25" s="269">
        <v>2700</v>
      </c>
      <c r="V25" s="269">
        <v>700</v>
      </c>
      <c r="AA25" s="179" t="s">
        <v>3382</v>
      </c>
      <c r="AB25" t="s">
        <v>4581</v>
      </c>
      <c r="AH25" s="193" t="s">
        <v>3548</v>
      </c>
      <c r="AI25" s="192" t="s">
        <v>3159</v>
      </c>
    </row>
    <row r="26" spans="1:35">
      <c r="A26" s="564"/>
      <c r="B26" s="177" t="str">
        <f t="shared" si="0"/>
        <v>Modena INOX LIJA - maksymalna zalecana długość profilu 2500 mm</v>
      </c>
      <c r="C26" s="170">
        <f t="shared" si="1"/>
        <v>103.6279332</v>
      </c>
      <c r="D26" s="170">
        <f t="shared" si="2"/>
        <v>41.633999999999993</v>
      </c>
      <c r="E26" s="170">
        <v>765.64770480000004</v>
      </c>
      <c r="F26" s="170">
        <v>264.79223999999994</v>
      </c>
      <c r="G26" s="170">
        <v>26.462123784431139</v>
      </c>
      <c r="H26" s="170">
        <v>9.1744383233532911</v>
      </c>
      <c r="I26" s="170">
        <v>103.6279332</v>
      </c>
      <c r="J26" s="170">
        <v>41.633999999999993</v>
      </c>
      <c r="K26" s="170">
        <v>9655.5485612903231</v>
      </c>
      <c r="L26" s="170">
        <v>3561.7215483870959</v>
      </c>
      <c r="M26" s="178" t="s">
        <v>3243</v>
      </c>
      <c r="N26" s="178" t="s">
        <v>4555</v>
      </c>
      <c r="O26" s="178" t="s">
        <v>4452</v>
      </c>
      <c r="P26" s="178" t="s">
        <v>4456</v>
      </c>
      <c r="Q26" s="202" t="s">
        <v>4556</v>
      </c>
      <c r="R26" s="318" t="s">
        <v>3678</v>
      </c>
      <c r="S26" s="133">
        <v>2500</v>
      </c>
      <c r="T26" s="133">
        <v>2500</v>
      </c>
      <c r="U26" s="269">
        <v>2700</v>
      </c>
      <c r="V26" s="269">
        <v>700</v>
      </c>
      <c r="AA26" s="180" t="s">
        <v>3386</v>
      </c>
      <c r="AB26" t="s">
        <v>4582</v>
      </c>
      <c r="AH26" s="193" t="s">
        <v>396</v>
      </c>
      <c r="AI26" s="192" t="s">
        <v>3160</v>
      </c>
    </row>
    <row r="27" spans="1:35">
      <c r="A27" s="564"/>
      <c r="B27" s="177" t="str">
        <f t="shared" si="0"/>
        <v>Palio (elox.) - maksymalna zalecana długość profilu 2500 mm</v>
      </c>
      <c r="C27" s="170">
        <f t="shared" si="1"/>
        <v>69.827028479999996</v>
      </c>
      <c r="D27" s="170">
        <f t="shared" si="2"/>
        <v>41.633999999999993</v>
      </c>
      <c r="E27" s="170">
        <v>515.91209472000003</v>
      </c>
      <c r="F27" s="170">
        <v>264.79223999999994</v>
      </c>
      <c r="G27" s="170">
        <v>17.830824316167664</v>
      </c>
      <c r="H27" s="170">
        <v>9.1744383233532911</v>
      </c>
      <c r="I27" s="170">
        <v>69.827028479999996</v>
      </c>
      <c r="J27" s="170">
        <v>41.633999999999993</v>
      </c>
      <c r="K27" s="170">
        <v>6506.1440825806449</v>
      </c>
      <c r="L27" s="170">
        <v>3561.7215483870959</v>
      </c>
      <c r="M27" s="179" t="s">
        <v>3244</v>
      </c>
      <c r="N27" s="178" t="s">
        <v>3288</v>
      </c>
      <c r="O27" s="178" t="s">
        <v>3340</v>
      </c>
      <c r="P27" s="178" t="s">
        <v>3420</v>
      </c>
      <c r="Q27" s="202" t="s">
        <v>3043</v>
      </c>
      <c r="R27" s="318" t="s">
        <v>3679</v>
      </c>
      <c r="S27" s="133">
        <v>2500</v>
      </c>
      <c r="T27" s="133">
        <v>2500</v>
      </c>
      <c r="U27" s="269">
        <v>2700</v>
      </c>
      <c r="V27" s="269">
        <v>700</v>
      </c>
      <c r="AA27" s="179" t="s">
        <v>3247</v>
      </c>
      <c r="AB27" t="s">
        <v>4583</v>
      </c>
      <c r="AH27" s="193" t="s">
        <v>3549</v>
      </c>
      <c r="AI27" s="192" t="s">
        <v>3161</v>
      </c>
    </row>
    <row r="28" spans="1:35">
      <c r="A28" s="564"/>
      <c r="B28" s="177"/>
      <c r="C28" s="170">
        <f t="shared" si="1"/>
        <v>81.272505600000002</v>
      </c>
      <c r="D28" s="170">
        <f t="shared" si="2"/>
        <v>42.018750000000004</v>
      </c>
      <c r="E28" s="170">
        <v>600.47619840000004</v>
      </c>
      <c r="F28" s="170">
        <v>267.23924999999997</v>
      </c>
      <c r="G28" s="170">
        <v>20.753507640718563</v>
      </c>
      <c r="H28" s="170">
        <v>9.2592215568862262</v>
      </c>
      <c r="I28" s="170">
        <v>81.272505600000002</v>
      </c>
      <c r="J28" s="170">
        <v>42.018750000000004</v>
      </c>
      <c r="K28" s="170">
        <v>7572.5781677419354</v>
      </c>
      <c r="L28" s="170">
        <v>3594.6362903225804</v>
      </c>
      <c r="M28" s="179" t="s">
        <v>3245</v>
      </c>
      <c r="N28" s="178" t="s">
        <v>3289</v>
      </c>
      <c r="O28" s="178" t="s">
        <v>3341</v>
      </c>
      <c r="P28" s="178" t="s">
        <v>3421</v>
      </c>
      <c r="Q28" s="202" t="s">
        <v>3106</v>
      </c>
      <c r="R28" s="318" t="s">
        <v>3680</v>
      </c>
      <c r="S28" s="133">
        <v>2500</v>
      </c>
      <c r="T28" s="133">
        <v>2500</v>
      </c>
      <c r="U28" s="269">
        <v>2700</v>
      </c>
      <c r="V28" s="269">
        <v>700</v>
      </c>
      <c r="AA28" s="179" t="s">
        <v>3248</v>
      </c>
      <c r="AB28" t="s">
        <v>4584</v>
      </c>
      <c r="AH28" s="193" t="s">
        <v>35</v>
      </c>
      <c r="AI28" s="192" t="s">
        <v>3162</v>
      </c>
    </row>
    <row r="29" spans="1:35">
      <c r="A29" s="564"/>
      <c r="B29" s="177" t="str">
        <f t="shared" si="0"/>
        <v>Pisa (elox.) - maksymalna zalecana długość profilu 2500 mm</v>
      </c>
      <c r="C29" s="170">
        <f t="shared" si="1"/>
        <v>62.988596351999995</v>
      </c>
      <c r="D29" s="170">
        <f t="shared" si="2"/>
        <v>41.633999999999993</v>
      </c>
      <c r="E29" s="170">
        <v>465.386819328</v>
      </c>
      <c r="F29" s="170">
        <v>264.79223999999994</v>
      </c>
      <c r="G29" s="170">
        <v>16.084582430658681</v>
      </c>
      <c r="H29" s="170">
        <v>9.1744383233532911</v>
      </c>
      <c r="I29" s="170">
        <v>62.988596351999995</v>
      </c>
      <c r="J29" s="170">
        <v>41.633999999999993</v>
      </c>
      <c r="K29" s="170">
        <v>5868.9721207741941</v>
      </c>
      <c r="L29" s="170">
        <v>3561.7215483870959</v>
      </c>
      <c r="M29" s="179" t="s">
        <v>3246</v>
      </c>
      <c r="N29" s="178" t="s">
        <v>3290</v>
      </c>
      <c r="O29" s="178" t="s">
        <v>3342</v>
      </c>
      <c r="P29" s="178" t="s">
        <v>3422</v>
      </c>
      <c r="Q29" s="202" t="s">
        <v>3044</v>
      </c>
      <c r="R29" s="318" t="s">
        <v>3681</v>
      </c>
      <c r="S29" s="133">
        <v>2500</v>
      </c>
      <c r="T29" s="133">
        <v>2500</v>
      </c>
      <c r="U29" s="269">
        <v>2700</v>
      </c>
      <c r="V29" s="269">
        <v>700</v>
      </c>
      <c r="AA29" s="179" t="s">
        <v>3249</v>
      </c>
      <c r="AB29" t="s">
        <v>4585</v>
      </c>
      <c r="AH29" s="193" t="s">
        <v>29</v>
      </c>
      <c r="AI29" s="192" t="s">
        <v>3163</v>
      </c>
    </row>
    <row r="30" spans="1:35">
      <c r="A30" s="564"/>
      <c r="B30" s="177" t="str">
        <f t="shared" si="0"/>
        <v>Pisa Czarny matowy - maksymalna zalecana długość profilu 2500 mm</v>
      </c>
      <c r="C30" s="170">
        <f t="shared" si="1"/>
        <v>80.318515464000015</v>
      </c>
      <c r="D30" s="170">
        <f t="shared" si="2"/>
        <v>42.018750000000004</v>
      </c>
      <c r="E30" s="170">
        <v>593.4277092960001</v>
      </c>
      <c r="F30" s="170">
        <v>267.23924999999997</v>
      </c>
      <c r="G30" s="170">
        <v>20.509899529580842</v>
      </c>
      <c r="H30" s="170">
        <v>9.2592215568862262</v>
      </c>
      <c r="I30" s="170">
        <v>80.318515464000015</v>
      </c>
      <c r="J30" s="170">
        <v>42.018750000000004</v>
      </c>
      <c r="K30" s="170">
        <v>7483.6899905806467</v>
      </c>
      <c r="L30" s="170">
        <v>3594.6362903225804</v>
      </c>
      <c r="M30" s="179" t="s">
        <v>3382</v>
      </c>
      <c r="N30" s="179" t="s">
        <v>3383</v>
      </c>
      <c r="O30" s="178" t="s">
        <v>3384</v>
      </c>
      <c r="P30" s="179" t="s">
        <v>3423</v>
      </c>
      <c r="Q30" s="202" t="s">
        <v>3385</v>
      </c>
      <c r="R30" s="318" t="s">
        <v>3682</v>
      </c>
      <c r="S30" s="133">
        <v>2500</v>
      </c>
      <c r="T30" s="133">
        <v>2500</v>
      </c>
      <c r="U30" s="269">
        <v>2700</v>
      </c>
      <c r="V30" s="269">
        <v>700</v>
      </c>
      <c r="AA30" s="179" t="s">
        <v>3250</v>
      </c>
      <c r="AB30" t="s">
        <v>4586</v>
      </c>
      <c r="AH30" s="193" t="s">
        <v>3550</v>
      </c>
      <c r="AI30" s="192" t="s">
        <v>3164</v>
      </c>
    </row>
    <row r="31" spans="1:35">
      <c r="A31" s="564"/>
      <c r="B31" s="177" t="str">
        <f t="shared" si="0"/>
        <v>Vivaro złota - maksymalna zalecana zalecana długość profilu 2150 mm</v>
      </c>
      <c r="C31" s="170">
        <f t="shared" si="1"/>
        <v>138.90565260000002</v>
      </c>
      <c r="D31" s="170">
        <f t="shared" si="2"/>
        <v>41.633999999999993</v>
      </c>
      <c r="E31" s="170">
        <v>1026.2946564000001</v>
      </c>
      <c r="F31" s="170">
        <v>264.79223999999994</v>
      </c>
      <c r="G31" s="170">
        <v>35.470538299401206</v>
      </c>
      <c r="H31" s="170">
        <v>9.1744383233532911</v>
      </c>
      <c r="I31" s="170">
        <v>138.90565260000002</v>
      </c>
      <c r="J31" s="170">
        <v>41.633999999999993</v>
      </c>
      <c r="K31" s="170">
        <v>12942.55547419355</v>
      </c>
      <c r="L31" s="170">
        <v>3561.7215483870959</v>
      </c>
      <c r="M31" s="180" t="s">
        <v>3386</v>
      </c>
      <c r="N31" s="180" t="s">
        <v>3387</v>
      </c>
      <c r="O31" s="179" t="s">
        <v>3388</v>
      </c>
      <c r="P31" s="179" t="s">
        <v>3424</v>
      </c>
      <c r="Q31" s="178" t="s">
        <v>3389</v>
      </c>
      <c r="R31" s="318" t="s">
        <v>3683</v>
      </c>
      <c r="S31" s="133">
        <v>2150</v>
      </c>
      <c r="T31" s="133">
        <v>2150</v>
      </c>
      <c r="U31" s="269">
        <v>2150</v>
      </c>
      <c r="V31" s="269">
        <v>700</v>
      </c>
      <c r="AA31" s="179" t="s">
        <v>3251</v>
      </c>
      <c r="AB31" t="s">
        <v>4587</v>
      </c>
      <c r="AH31" s="192" t="s">
        <v>3524</v>
      </c>
      <c r="AI31" s="192" t="s">
        <v>3165</v>
      </c>
    </row>
    <row r="32" spans="1:35">
      <c r="A32" s="564"/>
      <c r="B32" s="177" t="str">
        <f t="shared" si="0"/>
        <v>Siena (elox.) - maksymalna zalecana zalecana długość profilu 2500 mm</v>
      </c>
      <c r="C32" s="170">
        <f t="shared" si="1"/>
        <v>69.827028479999996</v>
      </c>
      <c r="D32" s="170">
        <f t="shared" si="2"/>
        <v>41.633999999999993</v>
      </c>
      <c r="E32" s="170">
        <v>515.91209472000003</v>
      </c>
      <c r="F32" s="170">
        <v>264.79223999999994</v>
      </c>
      <c r="G32" s="170">
        <v>17.830824316167664</v>
      </c>
      <c r="H32" s="170">
        <v>9.1744383233532911</v>
      </c>
      <c r="I32" s="170">
        <v>69.827028479999996</v>
      </c>
      <c r="J32" s="170">
        <v>41.633999999999993</v>
      </c>
      <c r="K32" s="170">
        <v>6506.1440825806449</v>
      </c>
      <c r="L32" s="170">
        <v>3561.7215483870959</v>
      </c>
      <c r="M32" s="179" t="s">
        <v>3247</v>
      </c>
      <c r="N32" s="179" t="s">
        <v>3291</v>
      </c>
      <c r="O32" s="178" t="s">
        <v>3343</v>
      </c>
      <c r="P32" s="179" t="s">
        <v>3425</v>
      </c>
      <c r="Q32" s="202" t="s">
        <v>3045</v>
      </c>
      <c r="R32" s="318" t="s">
        <v>3684</v>
      </c>
      <c r="S32" s="133">
        <v>2500</v>
      </c>
      <c r="T32" s="133">
        <v>2500</v>
      </c>
      <c r="U32" s="269">
        <v>2700</v>
      </c>
      <c r="V32" s="269">
        <v>700</v>
      </c>
      <c r="AA32" s="179" t="s">
        <v>3252</v>
      </c>
      <c r="AB32" t="s">
        <v>4588</v>
      </c>
      <c r="AH32" s="193" t="s">
        <v>32</v>
      </c>
      <c r="AI32" s="192" t="s">
        <v>3166</v>
      </c>
    </row>
    <row r="33" spans="1:35">
      <c r="A33" s="564"/>
      <c r="B33" s="177"/>
      <c r="C33" s="170">
        <f t="shared" si="1"/>
        <v>81.272505600000002</v>
      </c>
      <c r="D33" s="170">
        <f t="shared" si="2"/>
        <v>42.018750000000004</v>
      </c>
      <c r="E33" s="170">
        <v>600.47619840000004</v>
      </c>
      <c r="F33" s="170">
        <v>267.23924999999997</v>
      </c>
      <c r="G33" s="170">
        <v>20.753507640718563</v>
      </c>
      <c r="H33" s="170">
        <v>9.2592215568862262</v>
      </c>
      <c r="I33" s="170">
        <v>81.272505600000002</v>
      </c>
      <c r="J33" s="170">
        <v>42.018750000000004</v>
      </c>
      <c r="K33" s="170">
        <v>7572.5781677419354</v>
      </c>
      <c r="L33" s="170">
        <v>3594.6362903225804</v>
      </c>
      <c r="M33" s="179" t="s">
        <v>3248</v>
      </c>
      <c r="N33" s="179" t="s">
        <v>3292</v>
      </c>
      <c r="O33" s="178" t="s">
        <v>3344</v>
      </c>
      <c r="P33" s="179" t="s">
        <v>3426</v>
      </c>
      <c r="Q33" s="202" t="s">
        <v>3107</v>
      </c>
      <c r="R33" s="318" t="s">
        <v>3685</v>
      </c>
      <c r="S33" s="133">
        <v>2500</v>
      </c>
      <c r="T33" s="133">
        <v>2500</v>
      </c>
      <c r="U33" s="269">
        <v>2700</v>
      </c>
      <c r="V33" s="269">
        <v>700</v>
      </c>
      <c r="AA33" s="178" t="s">
        <v>3253</v>
      </c>
      <c r="AB33" t="s">
        <v>4589</v>
      </c>
      <c r="AH33" s="193" t="s">
        <v>36</v>
      </c>
      <c r="AI33" s="192" t="s">
        <v>3167</v>
      </c>
    </row>
    <row r="34" spans="1:35">
      <c r="A34" s="564"/>
      <c r="B34" s="177" t="str">
        <f t="shared" si="0"/>
        <v>Verona (elox.) - maksymalna zalecana zalecana długość profilu 2500 mm</v>
      </c>
      <c r="C34" s="170">
        <f t="shared" si="1"/>
        <v>42.34946759999999</v>
      </c>
      <c r="D34" s="170">
        <f t="shared" si="2"/>
        <v>33.250500000000002</v>
      </c>
      <c r="E34" s="170">
        <v>312.89606639999994</v>
      </c>
      <c r="F34" s="170">
        <v>211.47318000000001</v>
      </c>
      <c r="G34" s="170">
        <v>10.81423530538922</v>
      </c>
      <c r="H34" s="170">
        <v>7.3270562874251493</v>
      </c>
      <c r="I34" s="170">
        <v>42.34946759999999</v>
      </c>
      <c r="J34" s="170">
        <v>33.250500000000002</v>
      </c>
      <c r="K34" s="170">
        <v>3945.9181354838706</v>
      </c>
      <c r="L34" s="170">
        <v>2844.5266451612906</v>
      </c>
      <c r="M34" s="179" t="s">
        <v>3249</v>
      </c>
      <c r="N34" s="179" t="s">
        <v>3293</v>
      </c>
      <c r="O34" s="178" t="s">
        <v>3345</v>
      </c>
      <c r="P34" s="179" t="s">
        <v>3427</v>
      </c>
      <c r="Q34" s="202" t="s">
        <v>3046</v>
      </c>
      <c r="R34" s="318" t="s">
        <v>3686</v>
      </c>
      <c r="S34" s="133">
        <v>2500</v>
      </c>
      <c r="T34" s="133">
        <v>2500</v>
      </c>
      <c r="U34" s="269">
        <v>2500</v>
      </c>
      <c r="V34" s="269">
        <v>700</v>
      </c>
      <c r="AA34" s="178" t="s">
        <v>3254</v>
      </c>
      <c r="AB34" t="s">
        <v>4590</v>
      </c>
      <c r="AH34" s="193" t="s">
        <v>38</v>
      </c>
      <c r="AI34" s="192" t="s">
        <v>3168</v>
      </c>
    </row>
    <row r="35" spans="1:35">
      <c r="A35" s="564"/>
      <c r="B35" s="177" t="str">
        <f t="shared" si="0"/>
        <v>Verona szczotkowany - maksymalna zalecana zalecana długość profilu 2500 mm</v>
      </c>
      <c r="C35" s="170">
        <f t="shared" si="1"/>
        <v>64.786570199999986</v>
      </c>
      <c r="D35" s="170">
        <f t="shared" si="2"/>
        <v>33.250500000000002</v>
      </c>
      <c r="E35" s="170">
        <v>478.67102279999989</v>
      </c>
      <c r="F35" s="170">
        <v>211.47318000000001</v>
      </c>
      <c r="G35" s="170">
        <v>16.543707736526944</v>
      </c>
      <c r="H35" s="170">
        <v>7.3270562874251493</v>
      </c>
      <c r="I35" s="170">
        <v>64.786570199999986</v>
      </c>
      <c r="J35" s="170">
        <v>33.250500000000002</v>
      </c>
      <c r="K35" s="170">
        <v>6036.4986096774182</v>
      </c>
      <c r="L35" s="170">
        <v>2844.5266451612906</v>
      </c>
      <c r="M35" s="179" t="s">
        <v>3250</v>
      </c>
      <c r="N35" s="179" t="s">
        <v>3294</v>
      </c>
      <c r="O35" s="178" t="s">
        <v>3346</v>
      </c>
      <c r="P35" s="179" t="s">
        <v>3428</v>
      </c>
      <c r="Q35" s="202" t="s">
        <v>3108</v>
      </c>
      <c r="R35" s="318" t="s">
        <v>3687</v>
      </c>
      <c r="S35" s="133">
        <v>2500</v>
      </c>
      <c r="T35" s="133">
        <v>2500</v>
      </c>
      <c r="U35" s="269">
        <v>2500</v>
      </c>
      <c r="V35" s="269">
        <v>700</v>
      </c>
      <c r="AA35" s="179" t="s">
        <v>4557</v>
      </c>
      <c r="AB35" t="s">
        <v>4591</v>
      </c>
      <c r="AH35" s="193" t="s">
        <v>37</v>
      </c>
      <c r="AI35" s="192" t="s">
        <v>3169</v>
      </c>
    </row>
    <row r="36" spans="1:35">
      <c r="A36" s="564"/>
      <c r="B36" s="177" t="str">
        <f t="shared" si="0"/>
        <v>Verona czarny połysk - maksymalna zalecana zalecana długość profilu 2500 mm</v>
      </c>
      <c r="C36" s="170">
        <f t="shared" si="1"/>
        <v>90.422719200000003</v>
      </c>
      <c r="D36" s="170">
        <f t="shared" si="2"/>
        <v>33.635249999999999</v>
      </c>
      <c r="E36" s="170">
        <v>668.08190880000006</v>
      </c>
      <c r="F36" s="170">
        <v>213.92019000000002</v>
      </c>
      <c r="G36" s="170">
        <v>23.090079233532936</v>
      </c>
      <c r="H36" s="170">
        <v>7.4118395209580834</v>
      </c>
      <c r="I36" s="170">
        <v>90.422719200000003</v>
      </c>
      <c r="J36" s="170">
        <v>33.635249999999999</v>
      </c>
      <c r="K36" s="170">
        <v>8425.1507225806472</v>
      </c>
      <c r="L36" s="170">
        <v>2877.4413870967746</v>
      </c>
      <c r="M36" s="179" t="s">
        <v>3251</v>
      </c>
      <c r="N36" s="179" t="s">
        <v>3295</v>
      </c>
      <c r="O36" s="178" t="s">
        <v>3347</v>
      </c>
      <c r="P36" s="179" t="s">
        <v>3429</v>
      </c>
      <c r="Q36" s="202" t="s">
        <v>3109</v>
      </c>
      <c r="R36" s="318" t="s">
        <v>3688</v>
      </c>
      <c r="S36" s="133">
        <v>2500</v>
      </c>
      <c r="T36" s="133">
        <v>2500</v>
      </c>
      <c r="U36" s="269">
        <v>2500</v>
      </c>
      <c r="V36" s="269">
        <v>700</v>
      </c>
      <c r="AA36" s="179" t="s">
        <v>4440</v>
      </c>
      <c r="AB36" t="s">
        <v>4433</v>
      </c>
      <c r="AH36" s="193" t="s">
        <v>557</v>
      </c>
      <c r="AI36" s="192" t="s">
        <v>3170</v>
      </c>
    </row>
    <row r="37" spans="1:35">
      <c r="A37" s="564"/>
      <c r="B37" s="177" t="str">
        <f t="shared" si="0"/>
        <v>Verona czarny matowy - maksymalna zalecana zalecana długość profilu 2500 mm</v>
      </c>
      <c r="C37" s="170">
        <f t="shared" si="1"/>
        <v>52.192938599999998</v>
      </c>
      <c r="D37" s="170">
        <f t="shared" si="2"/>
        <v>33.635249999999999</v>
      </c>
      <c r="E37" s="170">
        <v>385.62386039999996</v>
      </c>
      <c r="F37" s="170">
        <v>213.92019000000002</v>
      </c>
      <c r="G37" s="170">
        <v>13.327835065868262</v>
      </c>
      <c r="H37" s="170">
        <v>7.4118395209580834</v>
      </c>
      <c r="I37" s="170">
        <v>52.192938599999998</v>
      </c>
      <c r="J37" s="170">
        <v>33.635249999999999</v>
      </c>
      <c r="K37" s="170">
        <v>4863.0850548387098</v>
      </c>
      <c r="L37" s="170">
        <v>2877.4413870967746</v>
      </c>
      <c r="M37" s="179" t="s">
        <v>3252</v>
      </c>
      <c r="N37" s="179" t="s">
        <v>3296</v>
      </c>
      <c r="O37" s="178" t="s">
        <v>3348</v>
      </c>
      <c r="P37" s="179" t="s">
        <v>3430</v>
      </c>
      <c r="Q37" s="202" t="s">
        <v>3110</v>
      </c>
      <c r="R37" s="318" t="s">
        <v>3689</v>
      </c>
      <c r="S37" s="133">
        <v>2500</v>
      </c>
      <c r="T37" s="133">
        <v>2500</v>
      </c>
      <c r="U37" s="269">
        <v>2500</v>
      </c>
      <c r="V37" s="269">
        <v>700</v>
      </c>
      <c r="AA37" s="177" t="s">
        <v>3255</v>
      </c>
      <c r="AB37" t="s">
        <v>4592</v>
      </c>
      <c r="AH37" s="193" t="s">
        <v>30</v>
      </c>
      <c r="AI37" s="192" t="s">
        <v>3171</v>
      </c>
    </row>
    <row r="38" spans="1:35">
      <c r="A38" s="564"/>
      <c r="B38" s="177" t="str">
        <f t="shared" si="0"/>
        <v>Verona braz - maksymalna zalecana zalecana długość profilu 2500 mm</v>
      </c>
      <c r="C38" s="170">
        <f t="shared" si="1"/>
        <v>54.280656143999991</v>
      </c>
      <c r="D38" s="170">
        <f t="shared" si="2"/>
        <v>33.250500000000002</v>
      </c>
      <c r="E38" s="170">
        <v>401.04881481599995</v>
      </c>
      <c r="F38" s="170">
        <v>211.47318000000001</v>
      </c>
      <c r="G38" s="170">
        <v>13.860948468502993</v>
      </c>
      <c r="H38" s="170">
        <v>7.3270562874251493</v>
      </c>
      <c r="I38" s="170">
        <v>54.280656143999991</v>
      </c>
      <c r="J38" s="170">
        <v>33.250500000000002</v>
      </c>
      <c r="K38" s="170">
        <v>5057.6084570322582</v>
      </c>
      <c r="L38" s="170">
        <v>2844.5266451612906</v>
      </c>
      <c r="M38" s="178" t="s">
        <v>3253</v>
      </c>
      <c r="N38" s="178" t="s">
        <v>3297</v>
      </c>
      <c r="O38" s="178" t="s">
        <v>3349</v>
      </c>
      <c r="P38" s="178" t="s">
        <v>3431</v>
      </c>
      <c r="Q38" s="202" t="s">
        <v>3111</v>
      </c>
      <c r="R38" s="318" t="s">
        <v>3690</v>
      </c>
      <c r="S38" s="133">
        <v>2500</v>
      </c>
      <c r="T38" s="133">
        <v>2500</v>
      </c>
      <c r="U38" s="269">
        <v>2500</v>
      </c>
      <c r="V38" s="269">
        <v>700</v>
      </c>
      <c r="AA38" s="179" t="s">
        <v>3256</v>
      </c>
      <c r="AB38" t="s">
        <v>556</v>
      </c>
      <c r="AH38" s="193" t="s">
        <v>3551</v>
      </c>
      <c r="AI38" s="192" t="s">
        <v>3172</v>
      </c>
    </row>
    <row r="39" spans="1:35">
      <c r="A39" s="564"/>
      <c r="B39" s="177" t="str">
        <f t="shared" si="0"/>
        <v>Verona szampański - maksymalna zalecana zalecana długość profilu 2500 mm</v>
      </c>
      <c r="C39" s="170">
        <f t="shared" si="1"/>
        <v>56.687572656000007</v>
      </c>
      <c r="D39" s="170">
        <f t="shared" si="2"/>
        <v>33.250500000000002</v>
      </c>
      <c r="E39" s="170">
        <v>418.83214838400011</v>
      </c>
      <c r="F39" s="170">
        <v>211.47318000000001</v>
      </c>
      <c r="G39" s="170">
        <v>14.475571579401201</v>
      </c>
      <c r="H39" s="170">
        <v>7.3270562874251493</v>
      </c>
      <c r="I39" s="170">
        <v>56.687572656000007</v>
      </c>
      <c r="J39" s="170">
        <v>33.250500000000002</v>
      </c>
      <c r="K39" s="170">
        <v>5281.8732720000016</v>
      </c>
      <c r="L39" s="170">
        <v>2844.5266451612906</v>
      </c>
      <c r="M39" s="178" t="s">
        <v>3254</v>
      </c>
      <c r="N39" s="178" t="s">
        <v>3298</v>
      </c>
      <c r="O39" s="178" t="s">
        <v>3350</v>
      </c>
      <c r="P39" s="178" t="s">
        <v>3432</v>
      </c>
      <c r="Q39" s="202" t="s">
        <v>3047</v>
      </c>
      <c r="R39" s="318" t="s">
        <v>3691</v>
      </c>
      <c r="S39" s="133">
        <v>2500</v>
      </c>
      <c r="T39" s="133">
        <v>2500</v>
      </c>
      <c r="U39" s="269">
        <v>2500</v>
      </c>
      <c r="V39" s="269">
        <v>700</v>
      </c>
      <c r="AA39" s="179" t="s">
        <v>3257</v>
      </c>
      <c r="AB39" t="s">
        <v>4593</v>
      </c>
      <c r="AH39" s="193" t="s">
        <v>3552</v>
      </c>
      <c r="AI39" s="192" t="s">
        <v>3173</v>
      </c>
    </row>
    <row r="40" spans="1:35">
      <c r="A40" s="564"/>
      <c r="B40" s="177" t="str">
        <f t="shared" si="0"/>
        <v>Verona Inox szczotkowany (Inox Lija)- maksymalna zalecana zalecana długość profilu 2500 mm</v>
      </c>
      <c r="C40" s="170">
        <f t="shared" si="1"/>
        <v>69.336508032000012</v>
      </c>
      <c r="D40" s="170">
        <f t="shared" si="2"/>
        <v>33.250500000000002</v>
      </c>
      <c r="E40" s="170">
        <v>512.287918848</v>
      </c>
      <c r="F40" s="170">
        <v>211.47318000000001</v>
      </c>
      <c r="G40" s="170">
        <v>17.705566459401197</v>
      </c>
      <c r="H40" s="170">
        <v>7.3270562874251493</v>
      </c>
      <c r="I40" s="170">
        <v>69.336508032000012</v>
      </c>
      <c r="J40" s="170">
        <v>33.250500000000002</v>
      </c>
      <c r="K40" s="170">
        <v>6460.4397646451625</v>
      </c>
      <c r="L40" s="170">
        <v>2844.5266451612906</v>
      </c>
      <c r="M40" s="179" t="s">
        <v>4557</v>
      </c>
      <c r="N40" s="179" t="s">
        <v>4558</v>
      </c>
      <c r="O40" s="178" t="s">
        <v>4559</v>
      </c>
      <c r="P40" s="179" t="s">
        <v>4560</v>
      </c>
      <c r="Q40" s="202" t="s">
        <v>4561</v>
      </c>
      <c r="R40" s="318" t="s">
        <v>4562</v>
      </c>
      <c r="S40" s="133">
        <v>2500</v>
      </c>
      <c r="T40" s="133">
        <v>2500</v>
      </c>
      <c r="U40" s="269">
        <v>2500</v>
      </c>
      <c r="V40" s="269">
        <v>700</v>
      </c>
      <c r="AA40" s="262" t="s">
        <v>3258</v>
      </c>
      <c r="AB40" t="s">
        <v>4594</v>
      </c>
      <c r="AH40" s="193" t="s">
        <v>33</v>
      </c>
      <c r="AI40" s="192" t="s">
        <v>33</v>
      </c>
    </row>
    <row r="41" spans="1:35">
      <c r="A41" s="564"/>
      <c r="B41" s="177" t="str">
        <f t="shared" si="0"/>
        <v>Verona Acier Gratta - maksymalna zalecana zalecana długość profilu 2500 mm</v>
      </c>
      <c r="C41" s="170">
        <f t="shared" si="1"/>
        <v>70.07499378</v>
      </c>
      <c r="D41" s="170">
        <f t="shared" si="2"/>
        <v>33.250500000000002</v>
      </c>
      <c r="E41" s="170">
        <v>517.74416891999999</v>
      </c>
      <c r="F41" s="170">
        <v>211.47318000000001</v>
      </c>
      <c r="G41" s="170">
        <v>17.894144004790419</v>
      </c>
      <c r="H41" s="170">
        <v>7.3270562874251493</v>
      </c>
      <c r="I41" s="170">
        <v>70.07499378</v>
      </c>
      <c r="J41" s="170">
        <v>33.250500000000002</v>
      </c>
      <c r="K41" s="170">
        <v>6529.2482874193556</v>
      </c>
      <c r="L41" s="170">
        <v>2844.5266451612906</v>
      </c>
      <c r="M41" s="179" t="s">
        <v>4440</v>
      </c>
      <c r="N41" s="179" t="s">
        <v>3299</v>
      </c>
      <c r="O41" s="178" t="s">
        <v>4453</v>
      </c>
      <c r="P41" s="179" t="s">
        <v>4454</v>
      </c>
      <c r="Q41" s="202" t="s">
        <v>4441</v>
      </c>
      <c r="R41" s="318" t="s">
        <v>4442</v>
      </c>
      <c r="S41" s="133">
        <v>2500</v>
      </c>
      <c r="T41" s="133">
        <v>2500</v>
      </c>
      <c r="U41" s="269">
        <v>2500</v>
      </c>
      <c r="V41" s="269">
        <v>700</v>
      </c>
      <c r="AA41" s="179" t="s">
        <v>3259</v>
      </c>
      <c r="AB41" t="s">
        <v>4445</v>
      </c>
      <c r="AH41" s="193" t="s">
        <v>34</v>
      </c>
      <c r="AI41" s="192" t="s">
        <v>34</v>
      </c>
    </row>
    <row r="42" spans="1:35">
      <c r="A42" s="564"/>
      <c r="B42" s="177" t="str">
        <f t="shared" si="0"/>
        <v>Rocca czarny matowy - maksymalna zalecana zalecana długość profilu 2150 mm</v>
      </c>
      <c r="C42" s="170">
        <f t="shared" si="1"/>
        <v>99.151495027199985</v>
      </c>
      <c r="D42" s="170">
        <f t="shared" si="2"/>
        <v>31.954500000000003</v>
      </c>
      <c r="E42" s="170">
        <v>732.57385582079996</v>
      </c>
      <c r="F42" s="170">
        <v>203.23061999999999</v>
      </c>
      <c r="G42" s="170">
        <v>25.319033718035932</v>
      </c>
      <c r="H42" s="170">
        <v>7.0414706586826341</v>
      </c>
      <c r="I42" s="170">
        <v>99.151495027199985</v>
      </c>
      <c r="J42" s="170">
        <v>31.954500000000003</v>
      </c>
      <c r="K42" s="170">
        <v>9238.4557483354856</v>
      </c>
      <c r="L42" s="170">
        <v>2733.655935483871</v>
      </c>
      <c r="M42" s="177" t="s">
        <v>3255</v>
      </c>
      <c r="N42" s="179" t="s">
        <v>3300</v>
      </c>
      <c r="O42" s="178" t="s">
        <v>3351</v>
      </c>
      <c r="P42" s="179" t="s">
        <v>3433</v>
      </c>
      <c r="Q42" s="202" t="s">
        <v>2560</v>
      </c>
      <c r="R42" s="318" t="s">
        <v>3692</v>
      </c>
      <c r="S42" s="133">
        <v>2150</v>
      </c>
      <c r="T42" s="133">
        <v>2150</v>
      </c>
      <c r="U42" s="269">
        <v>2150</v>
      </c>
      <c r="V42" s="269">
        <v>700</v>
      </c>
      <c r="AA42" s="178" t="s">
        <v>3260</v>
      </c>
      <c r="AB42" t="s">
        <v>4595</v>
      </c>
      <c r="AH42" s="193" t="s">
        <v>3553</v>
      </c>
      <c r="AI42" s="192" t="s">
        <v>3174</v>
      </c>
    </row>
    <row r="43" spans="1:35">
      <c r="A43" s="564"/>
      <c r="B43" s="177" t="str">
        <f t="shared" si="0"/>
        <v>Vivaro (elox.) - maksymalna zalecana zalecana długość profilu 2500 mm</v>
      </c>
      <c r="C43" s="170">
        <f t="shared" si="1"/>
        <v>72.459969119999997</v>
      </c>
      <c r="D43" s="170">
        <f t="shared" si="2"/>
        <v>41.633999999999993</v>
      </c>
      <c r="E43" s="170">
        <v>535.36539168000002</v>
      </c>
      <c r="F43" s="170">
        <v>264.79223999999994</v>
      </c>
      <c r="G43" s="170">
        <v>18.503164282634732</v>
      </c>
      <c r="H43" s="170">
        <v>9.1744383233532911</v>
      </c>
      <c r="I43" s="170">
        <v>72.459969119999997</v>
      </c>
      <c r="J43" s="170">
        <v>41.633999999999993</v>
      </c>
      <c r="K43" s="170">
        <v>6751.468730322581</v>
      </c>
      <c r="L43" s="170">
        <v>3561.7215483870959</v>
      </c>
      <c r="M43" s="179" t="s">
        <v>3256</v>
      </c>
      <c r="N43" s="179" t="s">
        <v>3301</v>
      </c>
      <c r="O43" s="178" t="s">
        <v>3352</v>
      </c>
      <c r="P43" s="179" t="s">
        <v>3434</v>
      </c>
      <c r="Q43" s="202" t="s">
        <v>3390</v>
      </c>
      <c r="R43" s="318" t="s">
        <v>3693</v>
      </c>
      <c r="S43" s="133">
        <v>2500</v>
      </c>
      <c r="T43" s="133">
        <v>2500</v>
      </c>
      <c r="U43" s="269">
        <v>2700</v>
      </c>
      <c r="V43" s="269">
        <v>700</v>
      </c>
      <c r="AA43" s="178" t="s">
        <v>3261</v>
      </c>
      <c r="AB43" t="s">
        <v>4596</v>
      </c>
      <c r="AH43" s="193" t="s">
        <v>3554</v>
      </c>
      <c r="AI43" s="192" t="s">
        <v>3175</v>
      </c>
    </row>
    <row r="44" spans="1:35">
      <c r="A44" s="564"/>
      <c r="B44" s="177" t="str">
        <f t="shared" si="0"/>
        <v>Vivaro czarny matowy - maksymalna zalecana zalecana długość profilu 2500 mm</v>
      </c>
      <c r="C44" s="170">
        <f t="shared" si="1"/>
        <v>96.198513840000004</v>
      </c>
      <c r="D44" s="170">
        <f t="shared" si="2"/>
        <v>42.018750000000004</v>
      </c>
      <c r="E44" s="170">
        <v>710.75596175999999</v>
      </c>
      <c r="F44" s="170">
        <v>267.23924999999997</v>
      </c>
      <c r="G44" s="170">
        <v>24.564969140119761</v>
      </c>
      <c r="H44" s="170">
        <v>9.2592215568862262</v>
      </c>
      <c r="I44" s="170">
        <v>96.198513840000004</v>
      </c>
      <c r="J44" s="170">
        <v>42.018750000000004</v>
      </c>
      <c r="K44" s="170">
        <v>8963.3112735483883</v>
      </c>
      <c r="L44" s="170">
        <v>3594.6362903225804</v>
      </c>
      <c r="M44" s="179" t="s">
        <v>3257</v>
      </c>
      <c r="N44" s="179" t="s">
        <v>3302</v>
      </c>
      <c r="O44" s="178" t="s">
        <v>3353</v>
      </c>
      <c r="P44" s="179" t="s">
        <v>3435</v>
      </c>
      <c r="Q44" s="202" t="s">
        <v>3112</v>
      </c>
      <c r="R44" s="318" t="s">
        <v>3694</v>
      </c>
      <c r="S44" s="133">
        <v>2500</v>
      </c>
      <c r="T44" s="133">
        <v>2500</v>
      </c>
      <c r="U44" s="269">
        <v>2700</v>
      </c>
      <c r="V44" s="269">
        <v>700</v>
      </c>
      <c r="AA44" s="247" t="s">
        <v>3262</v>
      </c>
      <c r="AB44" t="s">
        <v>4597</v>
      </c>
      <c r="AH44" s="193" t="s">
        <v>31</v>
      </c>
      <c r="AI44" s="192" t="s">
        <v>31</v>
      </c>
    </row>
    <row r="45" spans="1:35">
      <c r="A45" s="564"/>
      <c r="B45" s="177" t="str">
        <f t="shared" si="0"/>
        <v>Imola złota - maksymalna zalecana zalecana długość profilu 2150 mm</v>
      </c>
      <c r="C45" s="170">
        <f t="shared" si="1"/>
        <v>137.97390420000002</v>
      </c>
      <c r="D45" s="170">
        <f t="shared" si="2"/>
        <v>41.633999999999993</v>
      </c>
      <c r="E45" s="170">
        <v>1019.4104988</v>
      </c>
      <c r="F45" s="170">
        <v>264.79223999999994</v>
      </c>
      <c r="G45" s="170">
        <v>35.232609772455092</v>
      </c>
      <c r="H45" s="170">
        <v>9.1744383233532911</v>
      </c>
      <c r="I45" s="170">
        <v>137.97390420000002</v>
      </c>
      <c r="J45" s="170">
        <v>41.633999999999993</v>
      </c>
      <c r="K45" s="170">
        <v>12855.73967419355</v>
      </c>
      <c r="L45" s="170">
        <v>3561.7215483870959</v>
      </c>
      <c r="M45" s="262" t="s">
        <v>3258</v>
      </c>
      <c r="N45" s="180" t="s">
        <v>3303</v>
      </c>
      <c r="O45" s="202" t="s">
        <v>3354</v>
      </c>
      <c r="P45" s="178" t="s">
        <v>3436</v>
      </c>
      <c r="Q45" s="178" t="s">
        <v>3230</v>
      </c>
      <c r="R45" s="318" t="s">
        <v>3695</v>
      </c>
      <c r="S45" s="133">
        <v>2150</v>
      </c>
      <c r="T45" s="133">
        <v>2150</v>
      </c>
      <c r="U45" s="269">
        <v>2150</v>
      </c>
      <c r="V45" s="269">
        <v>700</v>
      </c>
      <c r="AA45" s="247" t="s">
        <v>3391</v>
      </c>
      <c r="AB45" t="s">
        <v>4598</v>
      </c>
      <c r="AH45" s="193" t="s">
        <v>39</v>
      </c>
      <c r="AI45" s="192" t="s">
        <v>39</v>
      </c>
    </row>
    <row r="46" spans="1:35">
      <c r="A46" s="564"/>
      <c r="B46" s="177" t="str">
        <f t="shared" si="0"/>
        <v>Vivaro INOX LIJA - maksymalna zalecana zalecana długość profilu 2500 mm</v>
      </c>
      <c r="C46" s="170">
        <f t="shared" si="1"/>
        <v>87.315945947999992</v>
      </c>
      <c r="D46" s="170">
        <f t="shared" si="2"/>
        <v>41.633999999999993</v>
      </c>
      <c r="E46" s="170">
        <v>645.12773287200002</v>
      </c>
      <c r="F46" s="170">
        <v>264.79223999999994</v>
      </c>
      <c r="G46" s="170">
        <v>22.29674276694611</v>
      </c>
      <c r="H46" s="170">
        <v>9.1744383233532911</v>
      </c>
      <c r="I46" s="170">
        <v>87.315945947999992</v>
      </c>
      <c r="J46" s="170">
        <v>41.633999999999993</v>
      </c>
      <c r="K46" s="170">
        <v>8135.6766485806456</v>
      </c>
      <c r="L46" s="170">
        <v>3561.7215483870959</v>
      </c>
      <c r="M46" s="179" t="s">
        <v>3259</v>
      </c>
      <c r="N46" s="179" t="s">
        <v>3304</v>
      </c>
      <c r="O46" s="178" t="s">
        <v>4455</v>
      </c>
      <c r="P46" s="179" t="s">
        <v>4457</v>
      </c>
      <c r="Q46" s="202" t="s">
        <v>4563</v>
      </c>
      <c r="R46" s="318" t="s">
        <v>3696</v>
      </c>
      <c r="S46" s="133">
        <v>2500</v>
      </c>
      <c r="T46" s="133">
        <v>2500</v>
      </c>
      <c r="U46" s="269">
        <v>2700</v>
      </c>
      <c r="V46" s="269">
        <v>700</v>
      </c>
      <c r="AA46" s="178" t="s">
        <v>3263</v>
      </c>
      <c r="AB46" t="s">
        <v>4599</v>
      </c>
      <c r="AH46" s="193" t="s">
        <v>40</v>
      </c>
      <c r="AI46" s="192" t="s">
        <v>3176</v>
      </c>
    </row>
    <row r="47" spans="1:35">
      <c r="A47" s="564"/>
      <c r="B47" s="177" t="str">
        <f t="shared" si="0"/>
        <v>Vivaro biały matowy RAL 9003 - maksymalna zalecana zalecana długość profilu 2500 mm</v>
      </c>
      <c r="C47" s="170">
        <f t="shared" si="1"/>
        <v>137.55461742</v>
      </c>
      <c r="D47" s="170">
        <f t="shared" si="2"/>
        <v>41.633999999999993</v>
      </c>
      <c r="E47" s="170">
        <v>1016.3126278799998</v>
      </c>
      <c r="F47" s="170">
        <v>264.79223999999994</v>
      </c>
      <c r="G47" s="170">
        <v>35.125541935329338</v>
      </c>
      <c r="H47" s="170">
        <v>9.1744383233532911</v>
      </c>
      <c r="I47" s="170">
        <v>137.55461742</v>
      </c>
      <c r="J47" s="170">
        <v>41.633999999999993</v>
      </c>
      <c r="K47" s="170">
        <v>12816.672564193546</v>
      </c>
      <c r="L47" s="170">
        <v>3561.7215483870959</v>
      </c>
      <c r="M47" s="178" t="s">
        <v>3260</v>
      </c>
      <c r="N47" s="178" t="s">
        <v>3305</v>
      </c>
      <c r="O47" s="178" t="s">
        <v>3355</v>
      </c>
      <c r="P47" s="178" t="s">
        <v>3437</v>
      </c>
      <c r="Q47" s="202" t="s">
        <v>3113</v>
      </c>
      <c r="R47" s="318" t="s">
        <v>3697</v>
      </c>
      <c r="S47" s="133">
        <v>2500</v>
      </c>
      <c r="T47" s="133">
        <v>2500</v>
      </c>
      <c r="U47" s="269">
        <v>2700</v>
      </c>
      <c r="V47" s="269">
        <v>700</v>
      </c>
      <c r="AA47" s="178" t="s">
        <v>3264</v>
      </c>
      <c r="AB47" t="s">
        <v>4600</v>
      </c>
      <c r="AH47" s="193" t="s">
        <v>41</v>
      </c>
      <c r="AI47" s="192" t="s">
        <v>3177</v>
      </c>
    </row>
    <row r="48" spans="1:35">
      <c r="A48" s="564"/>
      <c r="B48" s="177" t="str">
        <f t="shared" si="0"/>
        <v>Vivaro biały połysk RAL 9003 - maksymalna zalecana zalecana długość profilu 2500 mm</v>
      </c>
      <c r="C48" s="170">
        <f t="shared" si="1"/>
        <v>137.55461742</v>
      </c>
      <c r="D48" s="170">
        <f t="shared" si="2"/>
        <v>41.633999999999993</v>
      </c>
      <c r="E48" s="170">
        <v>1016.3126278799998</v>
      </c>
      <c r="F48" s="170">
        <v>264.79223999999994</v>
      </c>
      <c r="G48" s="170">
        <v>35.125541935329338</v>
      </c>
      <c r="H48" s="170">
        <v>9.1744383233532911</v>
      </c>
      <c r="I48" s="170">
        <v>137.55461742</v>
      </c>
      <c r="J48" s="170">
        <v>41.633999999999993</v>
      </c>
      <c r="K48" s="170">
        <v>12816.672564193546</v>
      </c>
      <c r="L48" s="170">
        <v>3561.7215483870959</v>
      </c>
      <c r="M48" s="178" t="s">
        <v>3261</v>
      </c>
      <c r="N48" s="178" t="s">
        <v>3306</v>
      </c>
      <c r="O48" s="178" t="s">
        <v>3356</v>
      </c>
      <c r="P48" s="178" t="s">
        <v>3438</v>
      </c>
      <c r="Q48" s="202" t="s">
        <v>3091</v>
      </c>
      <c r="R48" s="318" t="s">
        <v>3698</v>
      </c>
      <c r="S48" s="133">
        <v>2500</v>
      </c>
      <c r="T48" s="133">
        <v>2500</v>
      </c>
      <c r="U48" s="269">
        <v>2700</v>
      </c>
      <c r="V48" s="269">
        <v>700</v>
      </c>
      <c r="AA48" s="202" t="s">
        <v>3265</v>
      </c>
      <c r="AB48" t="s">
        <v>4601</v>
      </c>
      <c r="AH48" s="193" t="s">
        <v>46</v>
      </c>
      <c r="AI48" s="192" t="s">
        <v>3178</v>
      </c>
    </row>
    <row r="49" spans="1:37">
      <c r="A49" s="564"/>
      <c r="B49" s="177" t="str">
        <f t="shared" si="0"/>
        <v>Varna elox - maksymalna zalecana zalecana długość profilu 2500 mm</v>
      </c>
      <c r="C49" s="170">
        <f t="shared" si="1"/>
        <v>57.666470400000009</v>
      </c>
      <c r="D49" s="170">
        <f t="shared" si="2"/>
        <v>0</v>
      </c>
      <c r="E49" s="170">
        <v>426.06466560000007</v>
      </c>
      <c r="F49" s="170">
        <v>0</v>
      </c>
      <c r="G49" s="170">
        <v>14.725540023952098</v>
      </c>
      <c r="H49" s="170">
        <v>0</v>
      </c>
      <c r="I49" s="170">
        <v>57.666470400000009</v>
      </c>
      <c r="J49" s="170">
        <v>0</v>
      </c>
      <c r="K49" s="170">
        <v>5373.0822193548402</v>
      </c>
      <c r="L49" s="170">
        <v>0</v>
      </c>
      <c r="M49" s="247" t="s">
        <v>3262</v>
      </c>
      <c r="N49" s="178" t="s">
        <v>3307</v>
      </c>
      <c r="O49" s="202" t="s">
        <v>4564</v>
      </c>
      <c r="P49" s="178" t="s">
        <v>4565</v>
      </c>
      <c r="Q49" s="202" t="s">
        <v>4566</v>
      </c>
      <c r="R49" s="318" t="s">
        <v>3699</v>
      </c>
      <c r="S49" s="133">
        <v>2500</v>
      </c>
      <c r="T49" s="133">
        <v>2500</v>
      </c>
      <c r="U49" s="269">
        <v>1200</v>
      </c>
      <c r="V49" s="269">
        <v>700</v>
      </c>
      <c r="AA49" s="202" t="s">
        <v>3266</v>
      </c>
      <c r="AB49" t="s">
        <v>4602</v>
      </c>
      <c r="AH49" s="194" t="s">
        <v>3555</v>
      </c>
      <c r="AI49" s="194" t="s">
        <v>3179</v>
      </c>
    </row>
    <row r="50" spans="1:37">
      <c r="A50" s="564"/>
      <c r="B50" s="177" t="str">
        <f t="shared" si="0"/>
        <v>Rocca (elox.) - maksymalna zalecana zalecana długość profilu 2150 mm</v>
      </c>
      <c r="C50" s="170">
        <f t="shared" si="1"/>
        <v>66.491850110400009</v>
      </c>
      <c r="D50" s="170">
        <f t="shared" si="2"/>
        <v>31.954500000000003</v>
      </c>
      <c r="E50" s="170">
        <v>491.2703636256</v>
      </c>
      <c r="F50" s="170">
        <v>203.23061999999999</v>
      </c>
      <c r="G50" s="170">
        <v>16.979162991520958</v>
      </c>
      <c r="H50" s="170">
        <v>7.0414706586826341</v>
      </c>
      <c r="I50" s="170">
        <v>66.491850110400009</v>
      </c>
      <c r="J50" s="170">
        <v>31.954500000000003</v>
      </c>
      <c r="K50" s="170">
        <v>6195.388326735485</v>
      </c>
      <c r="L50" s="170">
        <v>2733.655935483871</v>
      </c>
      <c r="M50" s="247" t="s">
        <v>3391</v>
      </c>
      <c r="N50" s="202" t="s">
        <v>3392</v>
      </c>
      <c r="O50" s="202" t="s">
        <v>3393</v>
      </c>
      <c r="P50" s="178" t="s">
        <v>3439</v>
      </c>
      <c r="Q50" s="202" t="s">
        <v>3394</v>
      </c>
      <c r="R50" s="318" t="s">
        <v>3700</v>
      </c>
      <c r="S50" s="133">
        <v>2150</v>
      </c>
      <c r="T50" s="133">
        <v>2150</v>
      </c>
      <c r="U50" s="269">
        <v>2150</v>
      </c>
      <c r="V50" s="269">
        <v>700</v>
      </c>
      <c r="AA50" s="202" t="s">
        <v>3267</v>
      </c>
      <c r="AB50" t="s">
        <v>4603</v>
      </c>
      <c r="AH50" s="193" t="s">
        <v>48</v>
      </c>
      <c r="AI50" s="192" t="s">
        <v>3180</v>
      </c>
    </row>
    <row r="51" spans="1:37">
      <c r="A51" s="564"/>
      <c r="B51" s="177" t="str">
        <f t="shared" si="0"/>
        <v>Předěl</v>
      </c>
      <c r="C51" s="170"/>
      <c r="D51" s="170"/>
      <c r="E51" s="263">
        <v>1365.7451303124719</v>
      </c>
      <c r="F51" s="263">
        <v>279.98393904000005</v>
      </c>
      <c r="G51" s="263">
        <v>46.553393837395696</v>
      </c>
      <c r="H51" s="263">
        <v>9.6840045323741002</v>
      </c>
      <c r="I51" s="263">
        <v>199.68128812800003</v>
      </c>
      <c r="J51" s="263">
        <v>42.3683136</v>
      </c>
      <c r="K51" s="263">
        <v>18261.972828358434</v>
      </c>
      <c r="L51" s="263">
        <v>3483.29711790393</v>
      </c>
      <c r="M51" s="202" t="s">
        <v>1206</v>
      </c>
      <c r="N51" s="202" t="s">
        <v>1206</v>
      </c>
      <c r="O51" s="202" t="s">
        <v>1206</v>
      </c>
      <c r="P51" s="178" t="s">
        <v>1206</v>
      </c>
      <c r="Q51" s="202" t="s">
        <v>1206</v>
      </c>
      <c r="R51" s="318"/>
      <c r="AA51" s="202" t="s">
        <v>3268</v>
      </c>
      <c r="AB51" t="s">
        <v>4604</v>
      </c>
      <c r="AH51" s="193" t="s">
        <v>47</v>
      </c>
      <c r="AI51" s="192" t="s">
        <v>3181</v>
      </c>
    </row>
    <row r="52" spans="1:37">
      <c r="A52" s="564"/>
      <c r="B52" s="177" t="str">
        <f t="shared" si="0"/>
        <v>Pisa biały matowy RAL 9003 - maksymalna zalecana zalecana długość profilu 2500 mm</v>
      </c>
      <c r="C52" s="170">
        <f t="shared" si="1"/>
        <v>124.3658691</v>
      </c>
      <c r="D52" s="170">
        <f t="shared" si="2"/>
        <v>41.633999999999993</v>
      </c>
      <c r="E52" s="170">
        <v>918.86848740000016</v>
      </c>
      <c r="F52" s="170">
        <v>264.79223999999994</v>
      </c>
      <c r="G52" s="170">
        <v>31.757702011976054</v>
      </c>
      <c r="H52" s="170">
        <v>9.1744383233532911</v>
      </c>
      <c r="I52" s="170">
        <v>124.3658691</v>
      </c>
      <c r="J52" s="170">
        <v>41.633999999999993</v>
      </c>
      <c r="K52" s="170">
        <v>11587.808917741937</v>
      </c>
      <c r="L52" s="170">
        <v>3561.7215483870959</v>
      </c>
      <c r="M52" s="178" t="s">
        <v>3263</v>
      </c>
      <c r="N52" s="178" t="s">
        <v>3308</v>
      </c>
      <c r="O52" s="178" t="s">
        <v>3357</v>
      </c>
      <c r="P52" s="178" t="s">
        <v>3440</v>
      </c>
      <c r="Q52" s="202" t="s">
        <v>3114</v>
      </c>
      <c r="R52" s="318" t="s">
        <v>3701</v>
      </c>
      <c r="S52" s="133">
        <v>2500</v>
      </c>
      <c r="T52" s="133">
        <v>2500</v>
      </c>
      <c r="U52" s="269">
        <v>2700</v>
      </c>
      <c r="V52" s="269">
        <v>700</v>
      </c>
      <c r="AA52" s="202" t="s">
        <v>3269</v>
      </c>
      <c r="AB52" t="s">
        <v>4605</v>
      </c>
      <c r="AH52" s="192" t="s">
        <v>386</v>
      </c>
      <c r="AI52" s="192" t="s">
        <v>387</v>
      </c>
    </row>
    <row r="53" spans="1:37">
      <c r="A53" s="564"/>
      <c r="B53" s="177" t="str">
        <f t="shared" si="0"/>
        <v>Pisa biały połysk RAL 9003 - maksymalna zalecana zalecana długość profilu 2500 mm</v>
      </c>
      <c r="C53" s="170">
        <f t="shared" si="1"/>
        <v>124.3658691</v>
      </c>
      <c r="D53" s="170">
        <f t="shared" si="2"/>
        <v>41.633999999999993</v>
      </c>
      <c r="E53" s="170">
        <v>918.86848740000016</v>
      </c>
      <c r="F53" s="170">
        <v>264.79223999999994</v>
      </c>
      <c r="G53" s="170">
        <v>31.757702011976054</v>
      </c>
      <c r="H53" s="170">
        <v>9.1744383233532911</v>
      </c>
      <c r="I53" s="170">
        <v>124.3658691</v>
      </c>
      <c r="J53" s="170">
        <v>41.633999999999993</v>
      </c>
      <c r="K53" s="170">
        <v>11587.808917741937</v>
      </c>
      <c r="L53" s="170">
        <v>3561.7215483870959</v>
      </c>
      <c r="M53" s="178" t="s">
        <v>3264</v>
      </c>
      <c r="N53" s="178" t="s">
        <v>3309</v>
      </c>
      <c r="O53" s="178" t="s">
        <v>3358</v>
      </c>
      <c r="P53" s="178" t="s">
        <v>3441</v>
      </c>
      <c r="Q53" s="202" t="s">
        <v>3115</v>
      </c>
      <c r="R53" s="318" t="s">
        <v>3702</v>
      </c>
      <c r="S53" s="133">
        <v>2500</v>
      </c>
      <c r="T53" s="133">
        <v>2500</v>
      </c>
      <c r="U53" s="269">
        <v>2700</v>
      </c>
      <c r="V53" s="269">
        <v>700</v>
      </c>
      <c r="AA53" s="177" t="s">
        <v>3395</v>
      </c>
      <c r="AB53" t="s">
        <v>4606</v>
      </c>
      <c r="AH53" s="192" t="s">
        <v>548</v>
      </c>
      <c r="AI53" s="192" t="s">
        <v>3141</v>
      </c>
    </row>
    <row r="54" spans="1:37">
      <c r="A54" s="564"/>
      <c r="B54" s="177" t="str">
        <f t="shared" si="0"/>
        <v>Varna czarny - maksymalna zalecana zalecana długość profilu 1200 mm</v>
      </c>
      <c r="C54" s="170">
        <f t="shared" si="1"/>
        <v>82.328400000000002</v>
      </c>
      <c r="D54" s="170">
        <f t="shared" si="2"/>
        <v>0</v>
      </c>
      <c r="E54" s="170">
        <v>608.27760000000001</v>
      </c>
      <c r="F54" s="170">
        <v>0</v>
      </c>
      <c r="G54" s="170">
        <v>21.023137724550896</v>
      </c>
      <c r="H54" s="170">
        <v>0</v>
      </c>
      <c r="I54" s="170">
        <v>82.328400000000002</v>
      </c>
      <c r="J54" s="170">
        <v>0</v>
      </c>
      <c r="K54" s="170">
        <v>7670.9612903225816</v>
      </c>
      <c r="L54" s="170">
        <v>0</v>
      </c>
      <c r="M54" s="202" t="s">
        <v>3265</v>
      </c>
      <c r="N54" s="178" t="s">
        <v>3310</v>
      </c>
      <c r="O54" s="202" t="s">
        <v>4567</v>
      </c>
      <c r="P54" s="178" t="s">
        <v>3442</v>
      </c>
      <c r="Q54" s="202" t="s">
        <v>2561</v>
      </c>
      <c r="R54" s="318" t="s">
        <v>3703</v>
      </c>
      <c r="S54" s="133">
        <v>1200</v>
      </c>
      <c r="T54" s="133">
        <v>1200</v>
      </c>
      <c r="U54" s="269">
        <v>1200</v>
      </c>
      <c r="V54" s="269">
        <v>700</v>
      </c>
      <c r="AA54" s="177" t="s">
        <v>3399</v>
      </c>
      <c r="AB54" t="s">
        <v>4607</v>
      </c>
      <c r="AH54" s="192" t="s">
        <v>863</v>
      </c>
      <c r="AI54" s="192" t="s">
        <v>3144</v>
      </c>
      <c r="AJ54" s="192"/>
      <c r="AK54" s="193"/>
    </row>
    <row r="55" spans="1:37">
      <c r="A55" s="564"/>
      <c r="B55" s="177" t="str">
        <f t="shared" si="0"/>
        <v>BRW złota szczotkowany - maksymalna zalecana zalecana długość profilu 2500 mm</v>
      </c>
      <c r="C55" s="170">
        <f t="shared" si="1"/>
        <v>125.1731448</v>
      </c>
      <c r="D55" s="170">
        <f t="shared" si="2"/>
        <v>33.250500000000002</v>
      </c>
      <c r="E55" s="170">
        <v>924.83298719999993</v>
      </c>
      <c r="F55" s="170">
        <v>211.47318000000001</v>
      </c>
      <c r="G55" s="170">
        <v>31.963845556886227</v>
      </c>
      <c r="H55" s="170">
        <v>7.3270562874251493</v>
      </c>
      <c r="I55" s="170">
        <v>125.1731448</v>
      </c>
      <c r="J55" s="170">
        <v>33.250500000000002</v>
      </c>
      <c r="K55" s="170">
        <v>11663.02695483871</v>
      </c>
      <c r="L55" s="170">
        <v>2844.5266451612906</v>
      </c>
      <c r="M55" s="202" t="s">
        <v>3266</v>
      </c>
      <c r="N55" s="178" t="s">
        <v>3311</v>
      </c>
      <c r="O55" s="202" t="s">
        <v>3359</v>
      </c>
      <c r="P55" s="178" t="s">
        <v>3443</v>
      </c>
      <c r="Q55" s="202" t="s">
        <v>3116</v>
      </c>
      <c r="R55" s="318" t="s">
        <v>3704</v>
      </c>
      <c r="S55" s="133">
        <v>2500</v>
      </c>
      <c r="T55" s="133">
        <v>2500</v>
      </c>
      <c r="U55" s="269">
        <v>2700</v>
      </c>
      <c r="V55" s="269">
        <v>700</v>
      </c>
      <c r="AA55" s="178" t="s">
        <v>4395</v>
      </c>
      <c r="AB55" t="s">
        <v>4418</v>
      </c>
      <c r="AH55" s="192" t="s">
        <v>811</v>
      </c>
      <c r="AI55" s="192" t="s">
        <v>3145</v>
      </c>
      <c r="AJ55" s="192"/>
      <c r="AK55" s="193"/>
    </row>
    <row r="56" spans="1:37">
      <c r="A56" s="564"/>
      <c r="B56" s="177" t="str">
        <f t="shared" si="0"/>
        <v>Verona złota szczotkowany - maksymalna zalecana zalecana długość profilu 2150 mm</v>
      </c>
      <c r="C56" s="170">
        <f t="shared" si="1"/>
        <v>114.07305491999999</v>
      </c>
      <c r="D56" s="170">
        <f t="shared" si="2"/>
        <v>33.250500000000002</v>
      </c>
      <c r="E56" s="170">
        <v>842.82075287999987</v>
      </c>
      <c r="F56" s="170">
        <v>211.47318000000001</v>
      </c>
      <c r="G56" s="170">
        <v>29.129359300598797</v>
      </c>
      <c r="H56" s="170">
        <v>7.3270562874251493</v>
      </c>
      <c r="I56" s="170">
        <v>114.07305491999999</v>
      </c>
      <c r="J56" s="170">
        <v>33.250500000000002</v>
      </c>
      <c r="K56" s="170">
        <v>10628.774378709677</v>
      </c>
      <c r="L56" s="170">
        <v>2844.5266451612906</v>
      </c>
      <c r="M56" s="202" t="s">
        <v>3267</v>
      </c>
      <c r="N56" s="178" t="s">
        <v>3312</v>
      </c>
      <c r="O56" s="202" t="s">
        <v>3360</v>
      </c>
      <c r="P56" s="178" t="s">
        <v>3444</v>
      </c>
      <c r="Q56" s="202" t="s">
        <v>2562</v>
      </c>
      <c r="R56" s="318" t="s">
        <v>3705</v>
      </c>
      <c r="S56" s="133">
        <v>2150</v>
      </c>
      <c r="T56" s="133">
        <v>2150</v>
      </c>
      <c r="U56" s="269">
        <v>2150</v>
      </c>
      <c r="V56" s="269">
        <v>700</v>
      </c>
      <c r="AA56" s="202" t="s">
        <v>4401</v>
      </c>
      <c r="AB56" t="s">
        <v>4608</v>
      </c>
      <c r="AH56" s="192" t="s">
        <v>392</v>
      </c>
      <c r="AI56" s="192" t="s">
        <v>3152</v>
      </c>
    </row>
    <row r="57" spans="1:37">
      <c r="A57" s="564"/>
      <c r="B57" s="177" t="str">
        <f t="shared" si="0"/>
        <v>Vivaro złota szczotkowany - maksymalna zalecana zalecana długość profilu 2150 mm</v>
      </c>
      <c r="C57" s="170">
        <f t="shared" si="1"/>
        <v>165.31020000000001</v>
      </c>
      <c r="D57" s="170">
        <f t="shared" si="2"/>
        <v>41.633999999999993</v>
      </c>
      <c r="E57" s="170">
        <v>1221.3828000000001</v>
      </c>
      <c r="F57" s="170">
        <v>264.79223999999994</v>
      </c>
      <c r="G57" s="170">
        <v>42.213125748502996</v>
      </c>
      <c r="H57" s="170">
        <v>9.1744383233532911</v>
      </c>
      <c r="I57" s="170">
        <v>165.31020000000001</v>
      </c>
      <c r="J57" s="170">
        <v>41.633999999999993</v>
      </c>
      <c r="K57" s="170">
        <v>15402.803225806452</v>
      </c>
      <c r="L57" s="170">
        <v>3561.7215483870959</v>
      </c>
      <c r="M57" s="202" t="s">
        <v>3268</v>
      </c>
      <c r="N57" s="178" t="s">
        <v>3313</v>
      </c>
      <c r="O57" s="202" t="s">
        <v>3361</v>
      </c>
      <c r="P57" s="178" t="s">
        <v>3445</v>
      </c>
      <c r="Q57" s="202" t="s">
        <v>2563</v>
      </c>
      <c r="R57" s="318" t="s">
        <v>3706</v>
      </c>
      <c r="S57" s="133">
        <v>2150</v>
      </c>
      <c r="T57" s="133">
        <v>2150</v>
      </c>
      <c r="U57" s="269">
        <v>2150</v>
      </c>
      <c r="V57" s="269">
        <v>700</v>
      </c>
      <c r="AA57" s="179" t="s">
        <v>4422</v>
      </c>
      <c r="AB57" t="s">
        <v>4609</v>
      </c>
      <c r="AH57" s="192" t="s">
        <v>865</v>
      </c>
      <c r="AI57" s="192" t="s">
        <v>3153</v>
      </c>
    </row>
    <row r="58" spans="1:37">
      <c r="A58" s="564"/>
      <c r="B58" s="177" t="str">
        <f t="shared" si="0"/>
        <v>Pisa złota - maksymalna zalecana długość profilu 2150 mm</v>
      </c>
      <c r="C58" s="170">
        <f t="shared" si="1"/>
        <v>114.35979297599999</v>
      </c>
      <c r="D58" s="170">
        <f t="shared" si="2"/>
        <v>41.633999999999993</v>
      </c>
      <c r="E58" s="170">
        <v>844.93929686399997</v>
      </c>
      <c r="F58" s="170">
        <v>264.79223999999994</v>
      </c>
      <c r="G58" s="170">
        <v>29.202579885988026</v>
      </c>
      <c r="H58" s="170">
        <v>9.1744383233532911</v>
      </c>
      <c r="I58" s="170">
        <v>114.35979297599999</v>
      </c>
      <c r="J58" s="170">
        <v>41.633999999999993</v>
      </c>
      <c r="K58" s="170">
        <v>10655.491241032259</v>
      </c>
      <c r="L58" s="170">
        <v>3561.7215483870959</v>
      </c>
      <c r="M58" s="202" t="s">
        <v>3269</v>
      </c>
      <c r="N58" s="202" t="s">
        <v>3314</v>
      </c>
      <c r="O58" s="202" t="s">
        <v>3321</v>
      </c>
      <c r="P58" s="178" t="s">
        <v>3446</v>
      </c>
      <c r="Q58" s="202" t="s">
        <v>2593</v>
      </c>
      <c r="R58" s="318" t="s">
        <v>3707</v>
      </c>
      <c r="S58" s="133">
        <v>2150</v>
      </c>
      <c r="T58" s="133">
        <v>2150</v>
      </c>
      <c r="U58" s="269">
        <v>2150</v>
      </c>
      <c r="V58" s="269">
        <v>700</v>
      </c>
      <c r="AA58" s="178" t="s">
        <v>4406</v>
      </c>
      <c r="AB58" t="s">
        <v>4419</v>
      </c>
      <c r="AH58" s="192" t="s">
        <v>859</v>
      </c>
      <c r="AI58" s="192" t="s">
        <v>3154</v>
      </c>
      <c r="AJ58" s="192"/>
      <c r="AK58" s="193"/>
    </row>
    <row r="59" spans="1:37">
      <c r="A59" s="564"/>
      <c r="B59" s="177" t="str">
        <f t="shared" si="0"/>
        <v>ASTI  czarne  - maksymalna zalecana długość profilu 2150</v>
      </c>
      <c r="C59" s="170">
        <f t="shared" si="1"/>
        <v>96.049799999999991</v>
      </c>
      <c r="D59" s="170">
        <f t="shared" si="2"/>
        <v>33.635249999999999</v>
      </c>
      <c r="E59" s="170">
        <v>709.65719999999999</v>
      </c>
      <c r="F59" s="170">
        <v>213.92019000000002</v>
      </c>
      <c r="G59" s="170">
        <v>24.526994011976043</v>
      </c>
      <c r="H59" s="170">
        <v>7.4118395209580834</v>
      </c>
      <c r="I59" s="170">
        <v>96.049799999999991</v>
      </c>
      <c r="J59" s="170">
        <v>33.635249999999999</v>
      </c>
      <c r="K59" s="170">
        <v>8949.4548387096784</v>
      </c>
      <c r="L59" s="170">
        <v>2877.4413870967746</v>
      </c>
      <c r="M59" s="177" t="s">
        <v>3395</v>
      </c>
      <c r="N59" s="202" t="s">
        <v>3396</v>
      </c>
      <c r="O59" s="202" t="s">
        <v>3397</v>
      </c>
      <c r="P59" s="178" t="s">
        <v>3447</v>
      </c>
      <c r="Q59" s="177" t="s">
        <v>3398</v>
      </c>
      <c r="R59" s="318" t="s">
        <v>3708</v>
      </c>
      <c r="S59" s="133">
        <v>2150</v>
      </c>
      <c r="T59" s="133">
        <v>2150</v>
      </c>
      <c r="U59" s="269">
        <v>2150</v>
      </c>
      <c r="V59" s="269">
        <v>700</v>
      </c>
      <c r="AA59" s="178" t="s">
        <v>4412</v>
      </c>
      <c r="AB59" t="s">
        <v>4420</v>
      </c>
      <c r="AH59" s="192" t="s">
        <v>3526</v>
      </c>
      <c r="AI59" s="192" t="s">
        <v>3161</v>
      </c>
      <c r="AJ59" s="192"/>
      <c r="AK59" s="193"/>
    </row>
    <row r="60" spans="1:37">
      <c r="A60" s="564"/>
      <c r="B60" s="177" t="str">
        <f t="shared" si="0"/>
        <v>ASTI  antracyt mat RAL 7021 mat lakier - maksymalna zalecana długość profilu 2500 mm</v>
      </c>
      <c r="C60" s="170">
        <f t="shared" si="1"/>
        <v>142.56534599999998</v>
      </c>
      <c r="D60" s="170">
        <f t="shared" si="2"/>
        <v>33.635249999999999</v>
      </c>
      <c r="E60" s="170">
        <v>1053.3340439999999</v>
      </c>
      <c r="F60" s="170">
        <v>213.92019000000002</v>
      </c>
      <c r="G60" s="170">
        <v>36.405066826347309</v>
      </c>
      <c r="H60" s="170">
        <v>7.4118395209580834</v>
      </c>
      <c r="I60" s="170">
        <v>142.56534599999998</v>
      </c>
      <c r="J60" s="170">
        <v>33.635249999999999</v>
      </c>
      <c r="K60" s="170">
        <v>13283.547967741937</v>
      </c>
      <c r="L60" s="170">
        <v>2877.4413870967746</v>
      </c>
      <c r="M60" s="177" t="s">
        <v>3399</v>
      </c>
      <c r="N60" s="177" t="s">
        <v>3400</v>
      </c>
      <c r="O60" s="202" t="s">
        <v>3401</v>
      </c>
      <c r="P60" s="177" t="s">
        <v>3448</v>
      </c>
      <c r="Q60" s="177" t="s">
        <v>3402</v>
      </c>
      <c r="R60" s="318" t="s">
        <v>3709</v>
      </c>
      <c r="S60" s="133">
        <v>2500</v>
      </c>
      <c r="T60" s="133">
        <v>2500</v>
      </c>
      <c r="U60" s="269">
        <v>2500</v>
      </c>
      <c r="V60" s="269">
        <v>700</v>
      </c>
      <c r="AA60" s="185" t="s">
        <v>4458</v>
      </c>
      <c r="AB60" t="s">
        <v>4610</v>
      </c>
      <c r="AH60" s="192" t="s">
        <v>3577</v>
      </c>
      <c r="AI60" s="192" t="s">
        <v>3164</v>
      </c>
      <c r="AJ60" s="192"/>
      <c r="AK60" s="193"/>
    </row>
    <row r="61" spans="1:37" ht="15.75" thickBot="1">
      <c r="A61" s="564"/>
      <c r="B61" s="177" t="str">
        <f t="shared" si="0"/>
        <v>Modena brąz - maksymalna zalecana długość profilu 2500 mm</v>
      </c>
      <c r="C61" s="170">
        <f t="shared" ref="C61:C65" si="3">IF($D$1=1,E61,IF(OR($D$1=2,$D$1=5,),G61,IF($D$1=3,I61,IF($D$1=4,K61,IF($D$1=6,G61*1.3,0)))))</f>
        <v>87.857100000000003</v>
      </c>
      <c r="D61" s="170">
        <f t="shared" ref="D61:D65" si="4">IF($D$1=1,F61,IF(OR($D$1=2,$D$1=5),H61,IF($D$1=3,J61,IF($D$1=4,L61,IF($D$1=6,H61*1.3,0)))))</f>
        <v>39.127499999999998</v>
      </c>
      <c r="E61" s="473">
        <v>620.15896799999996</v>
      </c>
      <c r="F61" s="474">
        <v>266.66640000000001</v>
      </c>
      <c r="G61" s="474">
        <v>22.78707344</v>
      </c>
      <c r="H61" s="474">
        <v>9.7579918029999995</v>
      </c>
      <c r="I61" s="474">
        <v>87.857100000000003</v>
      </c>
      <c r="J61" s="474">
        <v>39.127499999999998</v>
      </c>
      <c r="K61" s="474">
        <v>8327.4112150000001</v>
      </c>
      <c r="L61" s="474">
        <v>3560.2990650000002</v>
      </c>
      <c r="M61" s="178" t="s">
        <v>4395</v>
      </c>
      <c r="N61" s="178" t="s">
        <v>4396</v>
      </c>
      <c r="O61" s="178" t="s">
        <v>4397</v>
      </c>
      <c r="P61" s="178" t="s">
        <v>4398</v>
      </c>
      <c r="Q61" s="202" t="s">
        <v>4399</v>
      </c>
      <c r="R61" s="318" t="s">
        <v>4400</v>
      </c>
      <c r="S61" s="133">
        <v>2500</v>
      </c>
      <c r="T61" s="133">
        <v>2500</v>
      </c>
      <c r="U61" s="269">
        <v>2500</v>
      </c>
      <c r="V61" s="269">
        <v>700</v>
      </c>
      <c r="AA61" s="185" t="s">
        <v>4459</v>
      </c>
      <c r="AB61" t="s">
        <v>4611</v>
      </c>
      <c r="AH61" s="192" t="s">
        <v>3578</v>
      </c>
      <c r="AI61" s="192" t="s">
        <v>3165</v>
      </c>
      <c r="AJ61" s="192"/>
      <c r="AK61" s="193"/>
    </row>
    <row r="62" spans="1:37" ht="15.75" thickBot="1">
      <c r="A62" s="564"/>
      <c r="B62" s="177" t="str">
        <f t="shared" si="0"/>
        <v>Verona Ivory mat - maksymalna zalecana zalecana długość profilu 2150 mm</v>
      </c>
      <c r="C62" s="170">
        <f t="shared" si="3"/>
        <v>60.813299999999998</v>
      </c>
      <c r="D62" s="170">
        <f t="shared" si="4"/>
        <v>31.255469999999999</v>
      </c>
      <c r="E62" s="473">
        <v>429.26426400000003</v>
      </c>
      <c r="F62" s="474">
        <v>213.0160032</v>
      </c>
      <c r="G62" s="474">
        <v>15.77285311</v>
      </c>
      <c r="H62" s="474">
        <v>7.7947893439999998</v>
      </c>
      <c r="I62" s="474">
        <v>60.813299999999998</v>
      </c>
      <c r="J62" s="474">
        <v>31.255469999999999</v>
      </c>
      <c r="K62" s="474">
        <v>5764.1028040000001</v>
      </c>
      <c r="L62" s="474">
        <v>2844.0053830000002</v>
      </c>
      <c r="M62" s="202" t="s">
        <v>4401</v>
      </c>
      <c r="N62" s="178" t="s">
        <v>4402</v>
      </c>
      <c r="O62" s="202" t="s">
        <v>4403</v>
      </c>
      <c r="P62" s="178" t="s">
        <v>4404</v>
      </c>
      <c r="Q62" s="202" t="s">
        <v>4405</v>
      </c>
      <c r="R62" s="318" t="s">
        <v>3705</v>
      </c>
      <c r="S62" s="133">
        <v>2150</v>
      </c>
      <c r="T62" s="133">
        <v>2150</v>
      </c>
      <c r="U62" s="269">
        <v>2150</v>
      </c>
      <c r="V62" s="269">
        <v>700</v>
      </c>
      <c r="AA62" s="185" t="s">
        <v>4460</v>
      </c>
      <c r="AB62" t="s">
        <v>4612</v>
      </c>
      <c r="AC62" s="205"/>
      <c r="AD62" s="34"/>
      <c r="AH62" s="193" t="s">
        <v>3579</v>
      </c>
      <c r="AI62" s="192" t="s">
        <v>3172</v>
      </c>
    </row>
    <row r="63" spans="1:37" ht="15.75" thickBot="1">
      <c r="A63" s="565"/>
      <c r="B63" s="177" t="str">
        <f t="shared" si="0"/>
        <v>Treviso czarny matowy - maksymalna zalecana długość profilu 2750 mm</v>
      </c>
      <c r="C63" s="170">
        <f t="shared" si="3"/>
        <v>118.32485</v>
      </c>
      <c r="D63" s="170">
        <f t="shared" si="4"/>
        <v>87.941699999999997</v>
      </c>
      <c r="E63" s="473">
        <v>835.22238800000002</v>
      </c>
      <c r="F63" s="474">
        <v>599.35075200000006</v>
      </c>
      <c r="G63" s="474">
        <v>30.689347210000001</v>
      </c>
      <c r="H63" s="474">
        <v>21.931745899999999</v>
      </c>
      <c r="I63" s="474">
        <v>118.32485</v>
      </c>
      <c r="J63" s="474">
        <v>87.941699999999997</v>
      </c>
      <c r="K63" s="474">
        <v>11215.25389</v>
      </c>
      <c r="L63" s="474">
        <v>8002.01271</v>
      </c>
      <c r="M63" s="179" t="s">
        <v>4422</v>
      </c>
      <c r="N63" s="179" t="s">
        <v>4462</v>
      </c>
      <c r="O63" s="178" t="s">
        <v>4426</v>
      </c>
      <c r="P63" s="179" t="s">
        <v>4423</v>
      </c>
      <c r="Q63" s="202" t="s">
        <v>4424</v>
      </c>
      <c r="R63" s="318" t="s">
        <v>4425</v>
      </c>
      <c r="S63" s="133">
        <v>2750</v>
      </c>
      <c r="T63" s="133">
        <v>2750</v>
      </c>
      <c r="U63" s="133">
        <v>2750</v>
      </c>
      <c r="V63" s="133">
        <v>700</v>
      </c>
      <c r="AA63" s="185" t="s">
        <v>4477</v>
      </c>
      <c r="AB63" t="s">
        <v>4613</v>
      </c>
      <c r="AC63" s="205"/>
      <c r="AD63" s="34"/>
      <c r="AH63" s="193" t="s">
        <v>3580</v>
      </c>
      <c r="AI63" s="192" t="s">
        <v>3173</v>
      </c>
    </row>
    <row r="64" spans="1:37" ht="15.75" thickBot="1">
      <c r="A64" s="201"/>
      <c r="B64" s="177" t="str">
        <f t="shared" si="0"/>
        <v>BRW kaszmirowy - maksymalna zalecana długość profilu 2500 mm</v>
      </c>
      <c r="C64" s="170">
        <f t="shared" si="3"/>
        <v>90.534925000000001</v>
      </c>
      <c r="D64" s="170">
        <f t="shared" si="4"/>
        <v>31.255469999999999</v>
      </c>
      <c r="E64" s="473">
        <v>639.06099400000005</v>
      </c>
      <c r="F64" s="474">
        <v>213.0160032</v>
      </c>
      <c r="G64" s="474">
        <v>23.48160803</v>
      </c>
      <c r="H64" s="474">
        <v>7.7947893439999998</v>
      </c>
      <c r="I64" s="474">
        <v>90.534925000000001</v>
      </c>
      <c r="J64" s="474">
        <v>31.255469999999999</v>
      </c>
      <c r="K64" s="474">
        <v>8581.2250779999995</v>
      </c>
      <c r="L64" s="474">
        <v>2844.0053830000002</v>
      </c>
      <c r="M64" s="178" t="s">
        <v>4406</v>
      </c>
      <c r="N64" s="178" t="s">
        <v>4408</v>
      </c>
      <c r="O64" s="178" t="s">
        <v>4407</v>
      </c>
      <c r="P64" s="178" t="s">
        <v>4409</v>
      </c>
      <c r="Q64" s="202" t="s">
        <v>4410</v>
      </c>
      <c r="R64" s="318" t="s">
        <v>4411</v>
      </c>
      <c r="S64" s="133">
        <v>2500</v>
      </c>
      <c r="T64" s="133">
        <v>2500</v>
      </c>
      <c r="U64" s="269">
        <v>2700</v>
      </c>
      <c r="V64" s="269">
        <v>700</v>
      </c>
      <c r="AA64" s="185" t="s">
        <v>4478</v>
      </c>
      <c r="AB64" t="s">
        <v>4614</v>
      </c>
      <c r="AH64" s="193" t="s">
        <v>3527</v>
      </c>
      <c r="AI64" s="192" t="s">
        <v>3174</v>
      </c>
    </row>
    <row r="65" spans="1:35" ht="15.75" thickBot="1">
      <c r="A65" s="201"/>
      <c r="B65" s="177" t="str">
        <f t="shared" si="0"/>
        <v>Verona kaszmirowy - maksymalna zalecana długość profilu 2150 mm</v>
      </c>
      <c r="C65" s="170">
        <f t="shared" si="3"/>
        <v>90.534925000000001</v>
      </c>
      <c r="D65" s="170">
        <f t="shared" si="4"/>
        <v>31.255469999999999</v>
      </c>
      <c r="E65" s="473">
        <v>639.06099400000005</v>
      </c>
      <c r="F65" s="474">
        <v>213.0160032</v>
      </c>
      <c r="G65" s="474">
        <v>23.48160803</v>
      </c>
      <c r="H65" s="474">
        <v>7.7947893439999998</v>
      </c>
      <c r="I65" s="474">
        <v>90.534925000000001</v>
      </c>
      <c r="J65" s="474">
        <v>31.255469999999999</v>
      </c>
      <c r="K65" s="474">
        <v>8581.2250779999995</v>
      </c>
      <c r="L65" s="474">
        <v>2844.0053830000002</v>
      </c>
      <c r="M65" s="178" t="s">
        <v>4412</v>
      </c>
      <c r="N65" s="178" t="s">
        <v>4413</v>
      </c>
      <c r="O65" s="178" t="s">
        <v>4414</v>
      </c>
      <c r="P65" s="178" t="s">
        <v>4415</v>
      </c>
      <c r="Q65" s="202" t="s">
        <v>4416</v>
      </c>
      <c r="R65" s="318" t="s">
        <v>4417</v>
      </c>
      <c r="S65" s="133">
        <v>2150</v>
      </c>
      <c r="T65" s="133">
        <v>2150</v>
      </c>
      <c r="U65" s="269">
        <v>2150</v>
      </c>
      <c r="V65" s="269">
        <v>700</v>
      </c>
      <c r="AA65" s="185" t="s">
        <v>3270</v>
      </c>
      <c r="AB65" t="s">
        <v>4615</v>
      </c>
      <c r="AH65" s="193" t="s">
        <v>3528</v>
      </c>
      <c r="AI65" s="192" t="s">
        <v>3175</v>
      </c>
    </row>
    <row r="66" spans="1:35" s="475" customFormat="1" ht="15.75" thickBot="1">
      <c r="A66" s="201"/>
      <c r="B66" s="177" t="str">
        <f t="shared" si="0"/>
        <v>Rimini elox naturalna - maksymalna długość profilu 1100 mm</v>
      </c>
      <c r="C66" s="170" t="str">
        <f t="shared" ref="C66:C70" si="5">IF($D$1=1,E66,IF(OR($D$1=2,$D$1=5,),G66,IF($D$1=3,I66,IF($D$1=4,K66,IF($D$1=6,G66*1.3,0)))))</f>
        <v xml:space="preserve">  36,21    </v>
      </c>
      <c r="D66" s="170" t="str">
        <f t="shared" ref="D66:D70" si="6">IF($D$1=1,F66,IF(OR($D$1=2,$D$1=5),H66,IF($D$1=3,J66,IF($D$1=4,L66,IF($D$1=6,H66*1.3,0)))))</f>
        <v xml:space="preserve">  24,75    </v>
      </c>
      <c r="E66" s="480" t="s">
        <v>4495</v>
      </c>
      <c r="F66" s="480" t="s">
        <v>4496</v>
      </c>
      <c r="G66" s="480" t="s">
        <v>4497</v>
      </c>
      <c r="H66" s="480" t="s">
        <v>4498</v>
      </c>
      <c r="I66" s="480" t="s">
        <v>4499</v>
      </c>
      <c r="J66" s="480" t="s">
        <v>4500</v>
      </c>
      <c r="K66" s="480" t="s">
        <v>4501</v>
      </c>
      <c r="L66" s="480" t="s">
        <v>4502</v>
      </c>
      <c r="M66" s="185" t="s">
        <v>4458</v>
      </c>
      <c r="N66" s="178" t="s">
        <v>4461</v>
      </c>
      <c r="O66" s="178" t="s">
        <v>4465</v>
      </c>
      <c r="P66" s="178" t="s">
        <v>4468</v>
      </c>
      <c r="Q66" s="202" t="s">
        <v>4470</v>
      </c>
      <c r="R66" s="318" t="s">
        <v>4474</v>
      </c>
      <c r="S66" s="475">
        <v>1100</v>
      </c>
      <c r="T66" s="475">
        <v>1100</v>
      </c>
      <c r="U66" s="475">
        <v>1100</v>
      </c>
      <c r="V66" s="475">
        <v>500</v>
      </c>
      <c r="AA66" s="185" t="s">
        <v>3271</v>
      </c>
      <c r="AB66" t="s">
        <v>4616</v>
      </c>
      <c r="AH66" s="476" t="s">
        <v>269</v>
      </c>
      <c r="AI66" s="477" t="s">
        <v>3178</v>
      </c>
    </row>
    <row r="67" spans="1:35" s="475" customFormat="1" ht="15.75" thickBot="1">
      <c r="A67" s="201"/>
      <c r="B67" s="177" t="str">
        <f t="shared" si="0"/>
        <v>Rimini czarny mat - maksymalna długość profilu 1100 mm</v>
      </c>
      <c r="C67" s="170" t="str">
        <f t="shared" si="5"/>
        <v xml:space="preserve">  67,59    </v>
      </c>
      <c r="D67" s="170" t="str">
        <f t="shared" si="6"/>
        <v xml:space="preserve">  24,75    </v>
      </c>
      <c r="E67" s="480" t="s">
        <v>4503</v>
      </c>
      <c r="F67" s="480" t="s">
        <v>4496</v>
      </c>
      <c r="G67" s="480" t="s">
        <v>4504</v>
      </c>
      <c r="H67" s="480" t="s">
        <v>4498</v>
      </c>
      <c r="I67" s="480" t="s">
        <v>4505</v>
      </c>
      <c r="J67" s="480" t="s">
        <v>4500</v>
      </c>
      <c r="K67" s="480" t="s">
        <v>4506</v>
      </c>
      <c r="L67" s="480" t="s">
        <v>4502</v>
      </c>
      <c r="M67" s="185" t="s">
        <v>4459</v>
      </c>
      <c r="N67" s="178" t="s">
        <v>4463</v>
      </c>
      <c r="O67" s="178" t="s">
        <v>4466</v>
      </c>
      <c r="P67" s="178" t="s">
        <v>4471</v>
      </c>
      <c r="Q67" s="202" t="s">
        <v>4472</v>
      </c>
      <c r="R67" s="318" t="s">
        <v>4475</v>
      </c>
      <c r="S67" s="475">
        <v>1100</v>
      </c>
      <c r="T67" s="475">
        <v>1100</v>
      </c>
      <c r="U67" s="475">
        <v>1100</v>
      </c>
      <c r="V67" s="475">
        <v>500</v>
      </c>
      <c r="AA67" s="185" t="s">
        <v>3272</v>
      </c>
      <c r="AB67" t="s">
        <v>4617</v>
      </c>
      <c r="AH67" s="476" t="s">
        <v>270</v>
      </c>
      <c r="AI67" s="477" t="s">
        <v>3180</v>
      </c>
    </row>
    <row r="68" spans="1:35" s="475" customFormat="1" ht="15.75" thickBot="1">
      <c r="A68" s="201"/>
      <c r="B68" s="177" t="str">
        <f t="shared" si="0"/>
        <v>Rimini champagne - maksymalna długość profilu 1100 mm</v>
      </c>
      <c r="C68" s="170" t="str">
        <f t="shared" si="5"/>
        <v xml:space="preserve">  64,09    </v>
      </c>
      <c r="D68" s="170" t="str">
        <f t="shared" si="6"/>
        <v xml:space="preserve">  24,75    </v>
      </c>
      <c r="E68" s="480" t="s">
        <v>4507</v>
      </c>
      <c r="F68" s="480" t="s">
        <v>4496</v>
      </c>
      <c r="G68" s="480" t="s">
        <v>4508</v>
      </c>
      <c r="H68" s="480" t="s">
        <v>4498</v>
      </c>
      <c r="I68" s="480" t="s">
        <v>4509</v>
      </c>
      <c r="J68" s="480" t="s">
        <v>4500</v>
      </c>
      <c r="K68" s="480" t="s">
        <v>4510</v>
      </c>
      <c r="L68" s="480" t="s">
        <v>4502</v>
      </c>
      <c r="M68" s="185" t="s">
        <v>4460</v>
      </c>
      <c r="N68" s="178" t="s">
        <v>4464</v>
      </c>
      <c r="O68" s="178" t="s">
        <v>4467</v>
      </c>
      <c r="P68" s="178" t="s">
        <v>4469</v>
      </c>
      <c r="Q68" s="202" t="s">
        <v>4473</v>
      </c>
      <c r="R68" s="318" t="s">
        <v>4476</v>
      </c>
      <c r="S68" s="475">
        <v>1100</v>
      </c>
      <c r="T68" s="475">
        <v>1100</v>
      </c>
      <c r="U68" s="475">
        <v>1100</v>
      </c>
      <c r="V68" s="475">
        <v>500</v>
      </c>
      <c r="AA68" s="185" t="s">
        <v>3273</v>
      </c>
      <c r="AB68" t="s">
        <v>4618</v>
      </c>
      <c r="AH68" s="476" t="s">
        <v>870</v>
      </c>
      <c r="AI68" s="477" t="s">
        <v>3181</v>
      </c>
    </row>
    <row r="69" spans="1:35" s="475" customFormat="1" ht="15.75" thickBot="1">
      <c r="A69" s="201"/>
      <c r="B69" s="177" t="str">
        <f t="shared" si="0"/>
        <v>Rimini zlota - maksymalna długość profilu 1100 mm</v>
      </c>
      <c r="C69" s="170" t="str">
        <f t="shared" si="5"/>
        <v xml:space="preserve">  73,47    </v>
      </c>
      <c r="D69" s="170" t="str">
        <f t="shared" si="6"/>
        <v xml:space="preserve">  24,75    </v>
      </c>
      <c r="E69" s="480" t="s">
        <v>4511</v>
      </c>
      <c r="F69" s="480" t="s">
        <v>4496</v>
      </c>
      <c r="G69" s="480" t="s">
        <v>4512</v>
      </c>
      <c r="H69" s="480" t="s">
        <v>4498</v>
      </c>
      <c r="I69" s="480" t="s">
        <v>4513</v>
      </c>
      <c r="J69" s="480" t="s">
        <v>4500</v>
      </c>
      <c r="K69" s="480" t="s">
        <v>4514</v>
      </c>
      <c r="L69" s="480" t="s">
        <v>4502</v>
      </c>
      <c r="M69" s="185" t="s">
        <v>4477</v>
      </c>
      <c r="N69" s="178" t="s">
        <v>4479</v>
      </c>
      <c r="O69" s="178" t="s">
        <v>4481</v>
      </c>
      <c r="P69" s="178" t="s">
        <v>4484</v>
      </c>
      <c r="Q69" s="202" t="s">
        <v>4485</v>
      </c>
      <c r="R69" s="318" t="s">
        <v>4488</v>
      </c>
      <c r="S69" s="475">
        <v>1100</v>
      </c>
      <c r="T69" s="475">
        <v>1100</v>
      </c>
      <c r="U69" s="475">
        <v>1100</v>
      </c>
      <c r="V69" s="475">
        <v>500</v>
      </c>
      <c r="AA69" s="185" t="s">
        <v>3274</v>
      </c>
      <c r="AB69" t="s">
        <v>4619</v>
      </c>
      <c r="AH69" s="476"/>
      <c r="AI69" s="477"/>
    </row>
    <row r="70" spans="1:35" s="475" customFormat="1" ht="15.75" thickBot="1">
      <c r="A70" s="201"/>
      <c r="B70" s="177" t="str">
        <f t="shared" si="0"/>
        <v>Rimini zlota szczotkowana - maksymalna długość profilu 1100 mm</v>
      </c>
      <c r="C70" s="170" t="str">
        <f t="shared" si="5"/>
        <v xml:space="preserve">  86,41    </v>
      </c>
      <c r="D70" s="170" t="str">
        <f t="shared" si="6"/>
        <v xml:space="preserve">  24,75    </v>
      </c>
      <c r="E70" s="480" t="s">
        <v>4515</v>
      </c>
      <c r="F70" s="480" t="s">
        <v>4496</v>
      </c>
      <c r="G70" s="480" t="s">
        <v>4516</v>
      </c>
      <c r="H70" s="480" t="s">
        <v>4498</v>
      </c>
      <c r="I70" s="480" t="s">
        <v>4517</v>
      </c>
      <c r="J70" s="480" t="s">
        <v>4500</v>
      </c>
      <c r="K70" s="480" t="s">
        <v>4518</v>
      </c>
      <c r="L70" s="480" t="s">
        <v>4502</v>
      </c>
      <c r="M70" s="185" t="s">
        <v>4478</v>
      </c>
      <c r="N70" s="178" t="s">
        <v>4480</v>
      </c>
      <c r="O70" s="178" t="s">
        <v>4482</v>
      </c>
      <c r="P70" s="178" t="s">
        <v>4483</v>
      </c>
      <c r="Q70" s="202" t="s">
        <v>4486</v>
      </c>
      <c r="R70" s="318" t="s">
        <v>4487</v>
      </c>
      <c r="S70" s="475">
        <v>1100</v>
      </c>
      <c r="T70" s="475">
        <v>1100</v>
      </c>
      <c r="U70" s="475">
        <v>1100</v>
      </c>
      <c r="V70" s="475">
        <v>500</v>
      </c>
      <c r="AA70" s="185" t="s">
        <v>3275</v>
      </c>
      <c r="AB70" t="s">
        <v>4620</v>
      </c>
      <c r="AH70" s="476"/>
      <c r="AI70" s="477"/>
    </row>
    <row r="71" spans="1:35">
      <c r="A71" s="201"/>
      <c r="B71" s="177" t="str">
        <f t="shared" ref="B71:B76" si="7">IF($D$1=1,M71,
IF($D$1=2,N71,
IF($D$1=3,O71,
IF($D$1=4,P71,
IF($D$1=5,Q71,
IF($D$1=6,R71,0))))))</f>
        <v>BRW champagne - maksymalna zalecana długość profilu 2500 mm</v>
      </c>
      <c r="C71" s="170">
        <f t="shared" ref="C71:C76" si="8">IF($D$1=1,E71,IF(OR($D$1=2,$D$1=5,),G71,IF($D$1=3,I71,IF($D$1=4,K71,IF($D$1=6,G71*1.3,0)))))</f>
        <v>54.088451999999997</v>
      </c>
      <c r="D71" s="170">
        <f t="shared" ref="D71:D76" si="9">IF($D$1=1,F71,IF(OR($D$1=2,$D$1=5),H71,IF($D$1=3,J71,IF($D$1=4,L71,IF($D$1=6,H71*1.3,0)))))</f>
        <v>33.250500000000002</v>
      </c>
      <c r="E71" s="170">
        <v>399.62872800000002</v>
      </c>
      <c r="F71" s="170">
        <v>211.47318000000001</v>
      </c>
      <c r="G71" s="170">
        <v>13.811867784431138</v>
      </c>
      <c r="H71" s="170">
        <v>7.3270562874251493</v>
      </c>
      <c r="I71" s="170">
        <v>54.088451999999997</v>
      </c>
      <c r="J71" s="170">
        <v>33.250500000000002</v>
      </c>
      <c r="K71" s="170">
        <v>5039.6998064516129</v>
      </c>
      <c r="L71" s="170">
        <v>2844.5266451612906</v>
      </c>
      <c r="M71" s="185" t="s">
        <v>3270</v>
      </c>
      <c r="N71" s="185" t="s">
        <v>3315</v>
      </c>
      <c r="O71" s="185" t="s">
        <v>3322</v>
      </c>
      <c r="P71" s="34" t="s">
        <v>3449</v>
      </c>
      <c r="Q71" s="185" t="s">
        <v>3048</v>
      </c>
      <c r="R71" s="318" t="s">
        <v>3710</v>
      </c>
      <c r="S71" s="133">
        <v>2500</v>
      </c>
      <c r="T71" s="133">
        <v>2500</v>
      </c>
      <c r="U71" s="269">
        <v>2700</v>
      </c>
      <c r="V71" s="269">
        <v>700</v>
      </c>
      <c r="AA71" s="181" t="s">
        <v>2384</v>
      </c>
      <c r="AB71" s="185" t="s">
        <v>3053</v>
      </c>
      <c r="AH71" s="192" t="s">
        <v>387</v>
      </c>
      <c r="AI71" s="192" t="s">
        <v>387</v>
      </c>
    </row>
    <row r="72" spans="1:35">
      <c r="A72" s="201"/>
      <c r="B72" s="177" t="str">
        <f t="shared" si="7"/>
        <v>BRW champagne light - maksymalna zalecana długość profilu 2500 mm</v>
      </c>
      <c r="C72" s="170">
        <f t="shared" si="8"/>
        <v>77.461876799999999</v>
      </c>
      <c r="D72" s="170">
        <f t="shared" si="9"/>
        <v>33.250500000000002</v>
      </c>
      <c r="E72" s="170">
        <v>572.32163519999995</v>
      </c>
      <c r="F72" s="170">
        <v>211.47318000000001</v>
      </c>
      <c r="G72" s="170">
        <v>19.780436694610778</v>
      </c>
      <c r="H72" s="170">
        <v>7.3270562874251493</v>
      </c>
      <c r="I72" s="170">
        <v>77.461876799999999</v>
      </c>
      <c r="J72" s="170">
        <v>33.250500000000002</v>
      </c>
      <c r="K72" s="170">
        <v>7217.5222451612899</v>
      </c>
      <c r="L72" s="170">
        <v>2844.5266451612906</v>
      </c>
      <c r="M72" s="185" t="s">
        <v>3271</v>
      </c>
      <c r="N72" s="185" t="s">
        <v>3316</v>
      </c>
      <c r="O72" s="185" t="s">
        <v>3323</v>
      </c>
      <c r="P72" s="34" t="s">
        <v>3450</v>
      </c>
      <c r="Q72" s="185" t="s">
        <v>3117</v>
      </c>
      <c r="R72" s="318" t="s">
        <v>3711</v>
      </c>
      <c r="S72" s="133">
        <v>2500</v>
      </c>
      <c r="T72" s="133">
        <v>2500</v>
      </c>
      <c r="U72" s="269">
        <v>2700</v>
      </c>
      <c r="V72" s="269">
        <v>700</v>
      </c>
      <c r="AA72" s="181" t="s">
        <v>1230</v>
      </c>
      <c r="AB72" s="185" t="s">
        <v>3054</v>
      </c>
      <c r="AH72" s="192" t="s">
        <v>1140</v>
      </c>
      <c r="AI72" s="192" t="s">
        <v>1140</v>
      </c>
    </row>
    <row r="73" spans="1:35">
      <c r="A73" s="201"/>
      <c r="B73" s="177" t="str">
        <f t="shared" si="7"/>
        <v>ROMA czarna matowa -  maksymalna zalecana długość profilu 2696 mm</v>
      </c>
      <c r="C73" s="170">
        <f t="shared" si="8"/>
        <v>115.25976</v>
      </c>
      <c r="D73" s="170">
        <f t="shared" si="9"/>
        <v>93.554999999999993</v>
      </c>
      <c r="E73" s="170">
        <v>851.58864000000005</v>
      </c>
      <c r="F73" s="170">
        <v>595.00979999999993</v>
      </c>
      <c r="G73" s="170">
        <v>29.432392814371259</v>
      </c>
      <c r="H73" s="170">
        <v>20.615712574850296</v>
      </c>
      <c r="I73" s="170">
        <v>115.25976</v>
      </c>
      <c r="J73" s="170">
        <v>93.554999999999993</v>
      </c>
      <c r="K73" s="170">
        <v>10739.345806451614</v>
      </c>
      <c r="L73" s="170">
        <v>8003.4793548387088</v>
      </c>
      <c r="M73" s="185" t="s">
        <v>3272</v>
      </c>
      <c r="N73" s="185" t="s">
        <v>3317</v>
      </c>
      <c r="O73" s="185" t="s">
        <v>3324</v>
      </c>
      <c r="P73" s="185" t="s">
        <v>3451</v>
      </c>
      <c r="Q73" s="246" t="s">
        <v>3049</v>
      </c>
      <c r="R73" s="318" t="s">
        <v>3712</v>
      </c>
      <c r="S73" s="133">
        <v>2696</v>
      </c>
      <c r="T73" s="133">
        <v>2696</v>
      </c>
      <c r="U73" s="269">
        <v>2696</v>
      </c>
      <c r="V73" s="269">
        <v>700</v>
      </c>
      <c r="AA73" s="181" t="s">
        <v>2385</v>
      </c>
      <c r="AB73" s="185" t="s">
        <v>3055</v>
      </c>
      <c r="AH73" s="192" t="s">
        <v>1136</v>
      </c>
      <c r="AI73" s="192" t="s">
        <v>1136</v>
      </c>
    </row>
    <row r="74" spans="1:35">
      <c r="A74" s="201"/>
      <c r="B74" s="177" t="str">
        <f t="shared" si="7"/>
        <v>ROMA champagne mat - maksymalna zalecana długość profilu 2696 mm</v>
      </c>
      <c r="C74" s="170">
        <f t="shared" si="8"/>
        <v>115.25976</v>
      </c>
      <c r="D74" s="170">
        <f t="shared" si="9"/>
        <v>93.554999999999993</v>
      </c>
      <c r="E74" s="170">
        <v>851.58864000000005</v>
      </c>
      <c r="F74" s="170">
        <v>595.00979999999993</v>
      </c>
      <c r="G74" s="170">
        <v>29.432392814371259</v>
      </c>
      <c r="H74" s="170">
        <v>20.615712574850296</v>
      </c>
      <c r="I74" s="170">
        <v>115.25976</v>
      </c>
      <c r="J74" s="170">
        <v>93.554999999999993</v>
      </c>
      <c r="K74" s="170">
        <v>10739.345806451614</v>
      </c>
      <c r="L74" s="170">
        <v>8003.4793548387088</v>
      </c>
      <c r="M74" s="185" t="s">
        <v>3273</v>
      </c>
      <c r="N74" s="185" t="s">
        <v>3318</v>
      </c>
      <c r="O74" s="185" t="s">
        <v>3325</v>
      </c>
      <c r="P74" s="185" t="s">
        <v>3452</v>
      </c>
      <c r="Q74" s="185" t="s">
        <v>3050</v>
      </c>
      <c r="R74" s="318" t="s">
        <v>3713</v>
      </c>
      <c r="S74" s="133">
        <v>2696</v>
      </c>
      <c r="T74" s="133">
        <v>2696</v>
      </c>
      <c r="U74" s="269">
        <v>2696</v>
      </c>
      <c r="V74" s="269">
        <v>700</v>
      </c>
      <c r="AA74" s="181" t="s">
        <v>2386</v>
      </c>
      <c r="AB74" s="185" t="s">
        <v>2392</v>
      </c>
      <c r="AH74" s="192" t="s">
        <v>1141</v>
      </c>
      <c r="AI74" s="192" t="s">
        <v>1141</v>
      </c>
    </row>
    <row r="75" spans="1:35">
      <c r="A75" s="201"/>
      <c r="B75" s="177" t="str">
        <f t="shared" si="7"/>
        <v>ROMA GRIP czarna matowa - maksymalna zalecana długość profilu 2696 mm</v>
      </c>
      <c r="C75" s="170">
        <f t="shared" si="8"/>
        <v>115.25976</v>
      </c>
      <c r="D75" s="170">
        <f t="shared" si="9"/>
        <v>93.554999999999993</v>
      </c>
      <c r="E75" s="170">
        <v>851.58864000000005</v>
      </c>
      <c r="F75" s="170">
        <v>595.00979999999993</v>
      </c>
      <c r="G75" s="170">
        <v>29.432392814371259</v>
      </c>
      <c r="H75" s="170">
        <v>20.615712574850296</v>
      </c>
      <c r="I75" s="170">
        <v>115.25976</v>
      </c>
      <c r="J75" s="170">
        <v>93.554999999999993</v>
      </c>
      <c r="K75" s="170">
        <v>10739.345806451614</v>
      </c>
      <c r="L75" s="170">
        <v>8003.4793548387088</v>
      </c>
      <c r="M75" s="185" t="s">
        <v>3274</v>
      </c>
      <c r="N75" s="185" t="s">
        <v>3319</v>
      </c>
      <c r="O75" s="185" t="s">
        <v>3326</v>
      </c>
      <c r="P75" s="185" t="s">
        <v>3453</v>
      </c>
      <c r="Q75" s="214" t="s">
        <v>3051</v>
      </c>
      <c r="R75" s="318" t="s">
        <v>3714</v>
      </c>
      <c r="S75" s="133">
        <v>2696</v>
      </c>
      <c r="T75" s="133">
        <v>2696</v>
      </c>
      <c r="U75" s="269">
        <v>2696</v>
      </c>
      <c r="V75" s="269">
        <v>700</v>
      </c>
      <c r="AA75" s="181" t="s">
        <v>1233</v>
      </c>
      <c r="AB75" s="185" t="s">
        <v>1235</v>
      </c>
      <c r="AH75" s="192" t="s">
        <v>549</v>
      </c>
      <c r="AI75" s="192" t="s">
        <v>3141</v>
      </c>
    </row>
    <row r="76" spans="1:35">
      <c r="A76" s="201"/>
      <c r="B76" s="177" t="str">
        <f t="shared" si="7"/>
        <v>ROMA GRIP champagne mat - maksymalna zalecana długość profilu 2696 mm</v>
      </c>
      <c r="C76" s="170">
        <f t="shared" si="8"/>
        <v>115.25976</v>
      </c>
      <c r="D76" s="170">
        <f t="shared" si="9"/>
        <v>93.554999999999993</v>
      </c>
      <c r="E76" s="170">
        <v>851.58864000000005</v>
      </c>
      <c r="F76" s="170">
        <v>595.00979999999993</v>
      </c>
      <c r="G76" s="170">
        <v>29.432392814371259</v>
      </c>
      <c r="H76" s="170">
        <v>20.615712574850296</v>
      </c>
      <c r="I76" s="170">
        <v>115.25976</v>
      </c>
      <c r="J76" s="170">
        <v>93.554999999999993</v>
      </c>
      <c r="K76" s="170">
        <v>10739.345806451614</v>
      </c>
      <c r="L76" s="170">
        <v>8003.4793548387088</v>
      </c>
      <c r="M76" s="185" t="s">
        <v>3275</v>
      </c>
      <c r="N76" s="185" t="s">
        <v>3320</v>
      </c>
      <c r="O76" s="185" t="s">
        <v>3327</v>
      </c>
      <c r="P76" s="185" t="s">
        <v>3454</v>
      </c>
      <c r="Q76" s="185" t="s">
        <v>3052</v>
      </c>
      <c r="R76" s="318" t="s">
        <v>3715</v>
      </c>
      <c r="S76" s="133">
        <v>2696</v>
      </c>
      <c r="T76" s="133">
        <v>2696</v>
      </c>
      <c r="U76" s="269">
        <v>2696</v>
      </c>
      <c r="V76" s="269">
        <v>700</v>
      </c>
      <c r="AA76" s="181" t="s">
        <v>1420</v>
      </c>
      <c r="AB76" s="185" t="s">
        <v>1422</v>
      </c>
      <c r="AH76" s="192" t="s">
        <v>866</v>
      </c>
      <c r="AI76" s="192" t="s">
        <v>3144</v>
      </c>
    </row>
    <row r="77" spans="1:35">
      <c r="B77" s="182"/>
      <c r="C77" s="134"/>
      <c r="D77" s="134"/>
      <c r="E77" s="134"/>
      <c r="F77" s="134"/>
      <c r="G77" s="183"/>
      <c r="H77" s="183"/>
      <c r="I77" s="183"/>
      <c r="J77" s="183"/>
      <c r="K77" s="184"/>
      <c r="L77" s="184"/>
      <c r="M77" s="181"/>
      <c r="N77" s="181"/>
      <c r="O77" s="185"/>
      <c r="P77" s="181"/>
      <c r="AA77" s="178" t="s">
        <v>3276</v>
      </c>
      <c r="AB77" t="s">
        <v>554</v>
      </c>
      <c r="AH77" s="192" t="s">
        <v>867</v>
      </c>
      <c r="AI77" s="192" t="s">
        <v>3147</v>
      </c>
    </row>
    <row r="78" spans="1:35" ht="15.75" thickBot="1">
      <c r="B78" s="182"/>
      <c r="C78" s="134" t="s">
        <v>1200</v>
      </c>
      <c r="D78" s="134" t="s">
        <v>1201</v>
      </c>
      <c r="E78" s="134"/>
      <c r="F78" s="134"/>
      <c r="G78" s="183"/>
      <c r="H78" s="183"/>
      <c r="I78" s="183"/>
      <c r="J78" s="183"/>
      <c r="K78" s="184"/>
      <c r="L78" s="184"/>
      <c r="M78" s="181"/>
      <c r="N78" s="181"/>
      <c r="O78" s="185"/>
      <c r="P78" s="181"/>
      <c r="AA78" s="178" t="s">
        <v>3277</v>
      </c>
      <c r="AB78" t="s">
        <v>4446</v>
      </c>
      <c r="AH78" s="192" t="s">
        <v>3581</v>
      </c>
      <c r="AI78" s="192" t="s">
        <v>3150</v>
      </c>
    </row>
    <row r="79" spans="1:35" ht="15.75" thickBot="1">
      <c r="A79" s="567" t="s">
        <v>1202</v>
      </c>
      <c r="B79" s="177"/>
      <c r="C79" s="186" t="str">
        <f>$B$32</f>
        <v>Siena (elox.) - maksymalna zalecana zalecana długość profilu 2500 mm</v>
      </c>
      <c r="D79" s="187" t="str">
        <f>B49</f>
        <v>Varna elox - maksymalna zalecana zalecana długość profilu 2500 mm</v>
      </c>
      <c r="E79" s="134"/>
      <c r="F79" s="134"/>
      <c r="G79" s="183"/>
      <c r="H79" s="183"/>
      <c r="I79" s="183"/>
      <c r="J79" s="183"/>
      <c r="K79" s="184"/>
      <c r="L79" s="184"/>
      <c r="M79" s="181" t="s">
        <v>2384</v>
      </c>
      <c r="N79" s="181" t="s">
        <v>2387</v>
      </c>
      <c r="O79" s="185" t="s">
        <v>3053</v>
      </c>
      <c r="P79" s="181" t="s">
        <v>2394</v>
      </c>
      <c r="Q79" s="133" t="s">
        <v>2390</v>
      </c>
      <c r="R79" s="318" t="s">
        <v>3716</v>
      </c>
      <c r="S79" s="133">
        <v>2500</v>
      </c>
      <c r="T79" s="133">
        <v>2500</v>
      </c>
      <c r="U79" s="269">
        <v>2700</v>
      </c>
      <c r="V79" s="269">
        <v>700</v>
      </c>
      <c r="AA79" s="178" t="s">
        <v>3278</v>
      </c>
      <c r="AB79" t="s">
        <v>4447</v>
      </c>
      <c r="AH79" s="192" t="s">
        <v>393</v>
      </c>
      <c r="AI79" s="192" t="s">
        <v>3152</v>
      </c>
    </row>
    <row r="80" spans="1:35" ht="15.75" thickBot="1">
      <c r="A80" s="568"/>
      <c r="B80" s="177"/>
      <c r="C80" s="186">
        <f>$B$33</f>
        <v>0</v>
      </c>
      <c r="D80" s="187" t="str">
        <f>$B$54</f>
        <v>Varna czarny - maksymalna zalecana zalecana długość profilu 1200 mm</v>
      </c>
      <c r="M80" s="181" t="s">
        <v>1230</v>
      </c>
      <c r="N80" s="181" t="s">
        <v>1231</v>
      </c>
      <c r="O80" s="185" t="s">
        <v>3054</v>
      </c>
      <c r="P80" s="181" t="s">
        <v>1232</v>
      </c>
      <c r="Q80" s="133" t="s">
        <v>1345</v>
      </c>
      <c r="R80" s="318" t="s">
        <v>3717</v>
      </c>
      <c r="S80" s="133">
        <v>1200</v>
      </c>
      <c r="T80" s="133">
        <v>2500</v>
      </c>
      <c r="U80" s="269">
        <v>2700</v>
      </c>
      <c r="V80" s="269">
        <v>700</v>
      </c>
      <c r="AA80" s="178" t="s">
        <v>3363</v>
      </c>
      <c r="AB80" t="s">
        <v>4568</v>
      </c>
      <c r="AH80" s="192" t="s">
        <v>868</v>
      </c>
      <c r="AI80" s="192" t="s">
        <v>3153</v>
      </c>
    </row>
    <row r="81" spans="1:35" ht="15.75" thickBot="1">
      <c r="A81" s="568"/>
      <c r="B81" s="177"/>
      <c r="C81" s="186" t="str">
        <f>$B$27</f>
        <v>Palio (elox.) - maksymalna zalecana długość profilu 2500 mm</v>
      </c>
      <c r="D81" s="187" t="str">
        <f>B49</f>
        <v>Varna elox - maksymalna zalecana zalecana długość profilu 2500 mm</v>
      </c>
      <c r="E81" s="134"/>
      <c r="F81" s="134"/>
      <c r="G81" s="183"/>
      <c r="H81" s="183"/>
      <c r="I81" s="183"/>
      <c r="J81" s="183"/>
      <c r="K81" s="184"/>
      <c r="L81" s="184"/>
      <c r="M81" s="181" t="s">
        <v>2385</v>
      </c>
      <c r="N81" s="181" t="s">
        <v>2388</v>
      </c>
      <c r="O81" s="185" t="s">
        <v>3055</v>
      </c>
      <c r="P81" s="181" t="s">
        <v>2395</v>
      </c>
      <c r="Q81" s="133" t="s">
        <v>2391</v>
      </c>
      <c r="R81" s="318" t="s">
        <v>3718</v>
      </c>
      <c r="S81" s="133">
        <v>2500</v>
      </c>
      <c r="T81" s="133">
        <v>2500</v>
      </c>
      <c r="U81" s="269">
        <v>2700</v>
      </c>
      <c r="V81" s="269">
        <v>700</v>
      </c>
      <c r="AA81" s="178" t="s">
        <v>3279</v>
      </c>
      <c r="AB81" t="s">
        <v>4448</v>
      </c>
      <c r="AH81" s="192" t="s">
        <v>860</v>
      </c>
      <c r="AI81" s="192" t="s">
        <v>3154</v>
      </c>
    </row>
    <row r="82" spans="1:35" ht="15.75" thickBot="1">
      <c r="A82" s="568"/>
      <c r="B82" s="177" t="str">
        <f t="shared" ref="B82:B83" si="10">IF($D$1=1,M82,
IF($D$1=2,N82,
IF($D$1=3,O82,
IF($D$1=4,P82,
IF($D$1=5,Q82,
IF($D$1=6,R82,0))))))</f>
        <v>Rocca elox (lewa i prawa) + Varna elox (góra i dół)</v>
      </c>
      <c r="C82" s="186" t="str">
        <f>B50</f>
        <v>Rocca (elox.) - maksymalna zalecana zalecana długość profilu 2150 mm</v>
      </c>
      <c r="D82" s="268" t="str">
        <f>B49</f>
        <v>Varna elox - maksymalna zalecana zalecana długość profilu 2500 mm</v>
      </c>
      <c r="E82" s="134"/>
      <c r="F82" s="134"/>
      <c r="G82" s="183"/>
      <c r="H82" s="183"/>
      <c r="I82" s="183"/>
      <c r="J82" s="183"/>
      <c r="K82" s="184"/>
      <c r="L82" s="184"/>
      <c r="M82" s="181" t="s">
        <v>2386</v>
      </c>
      <c r="N82" s="181" t="s">
        <v>2389</v>
      </c>
      <c r="O82" s="185" t="s">
        <v>2392</v>
      </c>
      <c r="P82" s="181" t="s">
        <v>2396</v>
      </c>
      <c r="Q82" s="133" t="s">
        <v>2393</v>
      </c>
      <c r="R82" s="318" t="s">
        <v>3719</v>
      </c>
      <c r="S82" s="133">
        <v>2500</v>
      </c>
      <c r="T82" s="133">
        <v>2500</v>
      </c>
      <c r="U82" s="269">
        <v>2150</v>
      </c>
      <c r="V82" s="269">
        <v>700</v>
      </c>
      <c r="AA82" s="179" t="s">
        <v>3280</v>
      </c>
      <c r="AB82" t="s">
        <v>4449</v>
      </c>
      <c r="AH82" s="192" t="s">
        <v>3582</v>
      </c>
      <c r="AI82" s="192" t="s">
        <v>3155</v>
      </c>
    </row>
    <row r="83" spans="1:35" ht="15.75" thickBot="1">
      <c r="A83" s="568"/>
      <c r="B83" s="177" t="str">
        <f t="shared" si="10"/>
        <v>Rocca czarny (lewa i prawa) + Varna czarny (góra i dół)</v>
      </c>
      <c r="C83" s="186" t="str">
        <f>B42</f>
        <v>Rocca czarny matowy - maksymalna zalecana zalecana długość profilu 2150 mm</v>
      </c>
      <c r="D83" s="268" t="str">
        <f>$B$54</f>
        <v>Varna czarny - maksymalna zalecana zalecana długość profilu 1200 mm</v>
      </c>
      <c r="E83" s="134"/>
      <c r="F83" s="134"/>
      <c r="G83" s="183"/>
      <c r="H83" s="183"/>
      <c r="I83" s="183"/>
      <c r="J83" s="183"/>
      <c r="K83" s="184"/>
      <c r="L83" s="184"/>
      <c r="M83" s="181" t="s">
        <v>1233</v>
      </c>
      <c r="N83" s="181" t="s">
        <v>1234</v>
      </c>
      <c r="O83" s="185" t="s">
        <v>1235</v>
      </c>
      <c r="P83" s="181" t="s">
        <v>1236</v>
      </c>
      <c r="Q83" s="133" t="s">
        <v>1346</v>
      </c>
      <c r="R83" s="318" t="s">
        <v>3720</v>
      </c>
      <c r="S83" s="133">
        <v>1200</v>
      </c>
      <c r="T83" s="133">
        <v>2150</v>
      </c>
      <c r="U83" s="269">
        <v>2150</v>
      </c>
      <c r="V83" s="269">
        <v>700</v>
      </c>
      <c r="AA83" s="179" t="s">
        <v>3281</v>
      </c>
      <c r="AB83" t="s">
        <v>4450</v>
      </c>
      <c r="AH83" s="192" t="s">
        <v>3583</v>
      </c>
      <c r="AI83" s="192" t="s">
        <v>2567</v>
      </c>
    </row>
    <row r="84" spans="1:35" ht="15.75" thickBot="1">
      <c r="A84" s="569"/>
      <c r="B84" s="177"/>
      <c r="C84" s="134">
        <f>$B$28</f>
        <v>0</v>
      </c>
      <c r="D84" s="134" t="str">
        <f>$B$54</f>
        <v>Varna czarny - maksymalna zalecana zalecana długość profilu 1200 mm</v>
      </c>
      <c r="E84" s="134"/>
      <c r="F84" s="134"/>
      <c r="G84" s="183"/>
      <c r="H84" s="183"/>
      <c r="I84" s="183"/>
      <c r="J84" s="183"/>
      <c r="K84" s="184"/>
      <c r="L84" s="184"/>
      <c r="M84" s="181" t="s">
        <v>1420</v>
      </c>
      <c r="N84" s="181" t="s">
        <v>1421</v>
      </c>
      <c r="O84" s="185" t="s">
        <v>1422</v>
      </c>
      <c r="P84" s="181" t="s">
        <v>1423</v>
      </c>
      <c r="Q84" s="133" t="s">
        <v>1424</v>
      </c>
      <c r="R84" s="318" t="s">
        <v>3721</v>
      </c>
      <c r="S84" s="133">
        <v>1200</v>
      </c>
      <c r="T84" s="133">
        <v>2500</v>
      </c>
      <c r="U84" s="269">
        <v>2700</v>
      </c>
      <c r="V84" s="269">
        <v>700</v>
      </c>
      <c r="AA84" s="180" t="s">
        <v>3463</v>
      </c>
      <c r="AB84" t="s">
        <v>1603</v>
      </c>
      <c r="AH84" s="192" t="s">
        <v>3584</v>
      </c>
      <c r="AI84" s="192" t="s">
        <v>3159</v>
      </c>
    </row>
    <row r="85" spans="1:35">
      <c r="A85" s="135"/>
      <c r="B85" s="266"/>
      <c r="C85" s="267"/>
      <c r="D85" s="267"/>
      <c r="E85" s="134"/>
      <c r="F85" s="134"/>
      <c r="G85" s="183"/>
      <c r="H85" s="183"/>
      <c r="I85" s="183"/>
      <c r="J85" s="183"/>
      <c r="K85" s="184"/>
      <c r="L85" s="184"/>
      <c r="M85" s="181"/>
      <c r="N85" s="181"/>
      <c r="O85" s="185"/>
      <c r="P85" s="181"/>
      <c r="AA85" s="179" t="s">
        <v>3282</v>
      </c>
      <c r="AB85" t="s">
        <v>4451</v>
      </c>
      <c r="AH85" s="192" t="s">
        <v>3585</v>
      </c>
      <c r="AI85" s="192" t="s">
        <v>3161</v>
      </c>
    </row>
    <row r="86" spans="1:35">
      <c r="A86" s="135"/>
      <c r="B86" s="133" t="s">
        <v>3455</v>
      </c>
      <c r="AA86" s="179" t="s">
        <v>4435</v>
      </c>
      <c r="AB86" t="s">
        <v>4569</v>
      </c>
      <c r="AH86" s="192" t="s">
        <v>3586</v>
      </c>
      <c r="AI86" s="192" t="s">
        <v>3164</v>
      </c>
    </row>
    <row r="87" spans="1:35">
      <c r="A87" s="135"/>
      <c r="B87" s="182"/>
      <c r="C87" s="182"/>
      <c r="D87" s="182"/>
      <c r="E87" s="134"/>
      <c r="F87" s="134"/>
      <c r="G87" s="183"/>
      <c r="H87" s="183"/>
      <c r="I87" s="183"/>
      <c r="J87" s="183"/>
      <c r="K87" s="184"/>
      <c r="L87" s="184"/>
      <c r="M87" s="181"/>
      <c r="N87" s="181"/>
      <c r="O87" s="185"/>
      <c r="P87" s="181"/>
      <c r="AA87" s="179" t="s">
        <v>4428</v>
      </c>
      <c r="AB87" t="s">
        <v>4443</v>
      </c>
      <c r="AH87" s="192" t="s">
        <v>3587</v>
      </c>
      <c r="AI87" s="192" t="s">
        <v>3165</v>
      </c>
    </row>
    <row r="88" spans="1:35">
      <c r="A88" s="135"/>
      <c r="AA88" s="179" t="s">
        <v>3367</v>
      </c>
      <c r="AB88" t="s">
        <v>555</v>
      </c>
      <c r="AH88" s="192" t="s">
        <v>3588</v>
      </c>
      <c r="AI88" s="192" t="s">
        <v>3172</v>
      </c>
    </row>
    <row r="89" spans="1:35">
      <c r="A89" s="135"/>
      <c r="AA89" s="179" t="s">
        <v>3371</v>
      </c>
      <c r="AB89" t="s">
        <v>4570</v>
      </c>
      <c r="AH89" s="192" t="s">
        <v>3589</v>
      </c>
      <c r="AI89" s="192" t="s">
        <v>3173</v>
      </c>
    </row>
    <row r="90" spans="1:35">
      <c r="A90" s="135"/>
      <c r="B90" s="182"/>
      <c r="C90" s="134"/>
      <c r="D90" s="134"/>
      <c r="E90" s="134"/>
      <c r="F90" s="134"/>
      <c r="G90" s="183"/>
      <c r="H90" s="183"/>
      <c r="I90" s="183"/>
      <c r="J90" s="183"/>
      <c r="K90" s="184"/>
      <c r="L90" s="184"/>
      <c r="M90" s="181"/>
      <c r="N90" s="181"/>
      <c r="O90" s="185"/>
      <c r="P90" s="181"/>
      <c r="AA90" s="179" t="s">
        <v>3375</v>
      </c>
      <c r="AB90" t="s">
        <v>4571</v>
      </c>
      <c r="AH90" s="192" t="s">
        <v>3590</v>
      </c>
      <c r="AI90" s="192" t="s">
        <v>3174</v>
      </c>
    </row>
    <row r="91" spans="1:35">
      <c r="B91" s="182"/>
      <c r="C91" s="134"/>
      <c r="D91" s="134"/>
      <c r="E91" s="134"/>
      <c r="F91" s="134"/>
      <c r="G91" s="183"/>
      <c r="H91" s="183"/>
      <c r="I91" s="183"/>
      <c r="J91" s="183"/>
      <c r="K91" s="184"/>
      <c r="L91" s="184"/>
      <c r="M91" s="181"/>
      <c r="N91" s="181"/>
      <c r="O91" s="185"/>
      <c r="P91" s="181"/>
      <c r="AA91" s="179" t="s">
        <v>3283</v>
      </c>
      <c r="AB91" t="s">
        <v>4572</v>
      </c>
      <c r="AH91" s="192" t="s">
        <v>3591</v>
      </c>
      <c r="AI91" s="192" t="s">
        <v>3175</v>
      </c>
    </row>
    <row r="92" spans="1:35">
      <c r="B92" s="176" t="s">
        <v>24</v>
      </c>
      <c r="C92" s="171" t="s">
        <v>25</v>
      </c>
      <c r="D92" s="172"/>
      <c r="E92" s="171" t="s">
        <v>113</v>
      </c>
      <c r="F92" s="172"/>
      <c r="G92" s="171" t="s">
        <v>114</v>
      </c>
      <c r="H92" s="172"/>
      <c r="I92" s="171" t="s">
        <v>74</v>
      </c>
      <c r="J92" s="172"/>
      <c r="K92" s="171" t="s">
        <v>75</v>
      </c>
      <c r="L92" s="172"/>
      <c r="M92" s="181"/>
      <c r="N92" s="181"/>
      <c r="O92" s="185"/>
      <c r="P92" s="181"/>
      <c r="AA92" s="178" t="s">
        <v>3284</v>
      </c>
      <c r="AB92" t="s">
        <v>4573</v>
      </c>
      <c r="AH92" s="192" t="s">
        <v>267</v>
      </c>
      <c r="AI92" s="192" t="s">
        <v>3178</v>
      </c>
    </row>
    <row r="93" spans="1:35">
      <c r="B93" s="182" t="str">
        <f>B565</f>
        <v>transparentna</v>
      </c>
      <c r="C93" s="170">
        <f t="shared" ref="C93:C99" si="11">IF($D$1=1,E93,IF(OR($D$1=2,$D$1=5),G93,IF($D$1=3,I93,IF($D$1=4,K93,IF($D$1=6,G93*1.3,0)))))</f>
        <v>22.842000000000002</v>
      </c>
      <c r="E93" s="188">
        <v>148.71600000000001</v>
      </c>
      <c r="G93" s="189">
        <v>5.1684790419161688</v>
      </c>
      <c r="I93" s="189">
        <v>22.842000000000002</v>
      </c>
      <c r="K93" s="190">
        <v>2116.4516129032259</v>
      </c>
      <c r="M93" s="181"/>
      <c r="N93" s="181"/>
      <c r="O93" s="185"/>
      <c r="P93" s="181"/>
      <c r="AA93" s="179" t="s">
        <v>3285</v>
      </c>
      <c r="AB93" t="s">
        <v>4574</v>
      </c>
      <c r="AH93" s="192" t="s">
        <v>268</v>
      </c>
      <c r="AI93" s="192" t="s">
        <v>3180</v>
      </c>
    </row>
    <row r="94" spans="1:35">
      <c r="B94" s="182" t="str">
        <f>B566</f>
        <v>Biała</v>
      </c>
      <c r="C94" s="170">
        <f t="shared" si="11"/>
        <v>19.035000000000004</v>
      </c>
      <c r="E94" s="188">
        <v>123.93</v>
      </c>
      <c r="G94" s="189">
        <v>4.3070658682634742</v>
      </c>
      <c r="I94" s="189">
        <v>19.035000000000004</v>
      </c>
      <c r="K94" s="189">
        <v>1763.7096774193551</v>
      </c>
      <c r="M94" s="181"/>
      <c r="N94" s="181"/>
      <c r="O94" s="185"/>
      <c r="P94" s="181"/>
      <c r="AA94" s="179" t="s">
        <v>3286</v>
      </c>
      <c r="AB94" t="s">
        <v>4575</v>
      </c>
      <c r="AH94" s="192" t="s">
        <v>871</v>
      </c>
      <c r="AI94" s="192" t="s">
        <v>3181</v>
      </c>
    </row>
    <row r="95" spans="1:35">
      <c r="B95" s="182" t="str">
        <f>B567</f>
        <v>czarna</v>
      </c>
      <c r="C95" s="170">
        <f t="shared" si="11"/>
        <v>22.842000000000002</v>
      </c>
      <c r="E95" s="188">
        <v>148.71600000000001</v>
      </c>
      <c r="G95" s="189">
        <v>5.1684790419161688</v>
      </c>
      <c r="I95" s="189">
        <v>22.842000000000002</v>
      </c>
      <c r="K95" s="190">
        <v>2116.4516129032259</v>
      </c>
      <c r="M95" s="181"/>
      <c r="N95" s="181"/>
      <c r="O95" s="185"/>
      <c r="P95" s="181"/>
      <c r="AA95" s="180" t="s">
        <v>3379</v>
      </c>
      <c r="AB95" t="s">
        <v>4576</v>
      </c>
      <c r="AH95" s="192" t="s">
        <v>388</v>
      </c>
      <c r="AI95" s="192" t="s">
        <v>387</v>
      </c>
    </row>
    <row r="96" spans="1:35">
      <c r="B96" s="182" t="s">
        <v>1215</v>
      </c>
      <c r="C96" s="170">
        <f t="shared" si="11"/>
        <v>100.88550000000001</v>
      </c>
      <c r="D96" s="134"/>
      <c r="E96" s="134">
        <v>656.82899999999995</v>
      </c>
      <c r="G96" s="134">
        <v>22.827449101796407</v>
      </c>
      <c r="I96" s="183">
        <v>100.88550000000001</v>
      </c>
      <c r="J96" s="183"/>
      <c r="K96" s="183">
        <v>9347.6612903225796</v>
      </c>
      <c r="L96" s="184"/>
      <c r="M96" s="181"/>
      <c r="N96" s="181"/>
      <c r="O96" s="185"/>
      <c r="P96" s="181"/>
      <c r="AA96" s="178" t="s">
        <v>3287</v>
      </c>
      <c r="AB96" t="s">
        <v>4577</v>
      </c>
      <c r="AH96" s="192" t="s">
        <v>1138</v>
      </c>
      <c r="AI96" s="192" t="s">
        <v>1140</v>
      </c>
    </row>
    <row r="97" spans="1:35">
      <c r="B97" s="177" t="str">
        <f t="shared" ref="B97:B98" si="12">IF($D$1=1,M97,
IF($D$1=2,N97,
IF($D$1=3,O97,
IF($D$1=4,P97,
IF($D$1=5,Q97,
IF($D$1=6,R97,0))))))</f>
        <v>Połysk</v>
      </c>
      <c r="C97" s="170">
        <f t="shared" si="11"/>
        <v>9.9052500000000006</v>
      </c>
      <c r="E97" s="134">
        <v>64.489499999999992</v>
      </c>
      <c r="G97" s="133">
        <v>2.2412694610778447</v>
      </c>
      <c r="I97" s="183">
        <v>9.9052500000000006</v>
      </c>
      <c r="K97" s="133">
        <v>917.7822580645161</v>
      </c>
      <c r="M97" s="181" t="s">
        <v>1933</v>
      </c>
      <c r="N97" s="181" t="s">
        <v>1933</v>
      </c>
      <c r="O97" s="185" t="s">
        <v>1937</v>
      </c>
      <c r="P97" s="181" t="s">
        <v>1938</v>
      </c>
      <c r="Q97" s="133" t="s">
        <v>1935</v>
      </c>
      <c r="R97" s="318" t="s">
        <v>3722</v>
      </c>
      <c r="AA97" s="178" t="s">
        <v>4555</v>
      </c>
      <c r="AB97" t="s">
        <v>4444</v>
      </c>
      <c r="AH97" s="192" t="s">
        <v>1137</v>
      </c>
      <c r="AI97" s="192" t="s">
        <v>1136</v>
      </c>
    </row>
    <row r="98" spans="1:35">
      <c r="B98" s="177" t="str">
        <f t="shared" si="12"/>
        <v>Matowy</v>
      </c>
      <c r="C98" s="170">
        <f t="shared" si="11"/>
        <v>6.5741249999999996</v>
      </c>
      <c r="E98" s="134">
        <v>42.801749999999998</v>
      </c>
      <c r="G98" s="133">
        <v>1.4875329341317365</v>
      </c>
      <c r="I98" s="183">
        <v>6.5741249999999996</v>
      </c>
      <c r="K98" s="133">
        <v>609.13306451612902</v>
      </c>
      <c r="M98" s="181" t="s">
        <v>1934</v>
      </c>
      <c r="N98" s="181" t="s">
        <v>1934</v>
      </c>
      <c r="O98" s="185" t="s">
        <v>1939</v>
      </c>
      <c r="P98" s="181" t="s">
        <v>1936</v>
      </c>
      <c r="Q98" s="133" t="s">
        <v>1936</v>
      </c>
      <c r="R98" s="318" t="s">
        <v>1934</v>
      </c>
      <c r="AA98" s="178" t="s">
        <v>3288</v>
      </c>
      <c r="AB98" t="s">
        <v>4578</v>
      </c>
      <c r="AH98" s="192" t="s">
        <v>1142</v>
      </c>
      <c r="AI98" s="192" t="s">
        <v>1141</v>
      </c>
    </row>
    <row r="99" spans="1:35">
      <c r="B99" s="182" t="s">
        <v>1216</v>
      </c>
      <c r="C99" s="170">
        <f t="shared" si="11"/>
        <v>3.912300000000001</v>
      </c>
      <c r="E99" s="134">
        <v>23.538438000000006</v>
      </c>
      <c r="G99" s="133">
        <v>0.85050000000000014</v>
      </c>
      <c r="I99" s="183">
        <v>3.912300000000001</v>
      </c>
      <c r="K99" s="133">
        <v>311.88402000000002</v>
      </c>
      <c r="AA99" s="178" t="s">
        <v>3289</v>
      </c>
      <c r="AB99" t="s">
        <v>4579</v>
      </c>
      <c r="AH99" s="192" t="s">
        <v>553</v>
      </c>
      <c r="AI99" s="192" t="s">
        <v>3141</v>
      </c>
    </row>
    <row r="100" spans="1:35">
      <c r="B100" s="191" t="s">
        <v>6</v>
      </c>
      <c r="C100" s="571" t="s">
        <v>28</v>
      </c>
      <c r="D100" s="571"/>
      <c r="E100" s="571" t="s">
        <v>28</v>
      </c>
      <c r="F100" s="571"/>
      <c r="G100" s="571" t="s">
        <v>28</v>
      </c>
      <c r="H100" s="571"/>
      <c r="I100" s="571" t="s">
        <v>28</v>
      </c>
      <c r="J100" s="571"/>
      <c r="K100" s="571" t="s">
        <v>28</v>
      </c>
      <c r="L100" s="572"/>
      <c r="M100" s="175"/>
      <c r="AA100" s="178" t="s">
        <v>3290</v>
      </c>
      <c r="AB100" t="s">
        <v>4580</v>
      </c>
      <c r="AH100" s="192" t="s">
        <v>864</v>
      </c>
      <c r="AI100" s="192" t="s">
        <v>3144</v>
      </c>
    </row>
    <row r="101" spans="1:35">
      <c r="A101" s="566" t="s">
        <v>1195</v>
      </c>
      <c r="B101" s="326" t="str">
        <f t="shared" ref="B101" si="13">IF($D$1=1,M101,
IF($D$1=2,N101,
IF($D$1=3,O101,
IF($D$1=4,P101,
IF($D$1=5,Q101,
IF($D$1=6,R101,0))))))</f>
        <v>Czyste</v>
      </c>
      <c r="C101" s="170">
        <f t="shared" ref="C101:C114" si="14">IF($D$1=1,E101,IF(OR($D$1=2,$D$1=5),G101,IF($D$1=3,I101,IF($D$1=4,K101,IF($D$1=6,G101*1.3,0)))))</f>
        <v>203.86080000000001</v>
      </c>
      <c r="D101" s="249"/>
      <c r="E101" s="251">
        <v>1288.8720000000001</v>
      </c>
      <c r="F101" s="251"/>
      <c r="G101" s="134">
        <v>44.793485029940122</v>
      </c>
      <c r="H101" s="134"/>
      <c r="I101" s="251">
        <v>203.86080000000001</v>
      </c>
      <c r="J101" s="251"/>
      <c r="K101" s="251">
        <v>18342.580645161292</v>
      </c>
      <c r="L101" s="251"/>
      <c r="M101" s="192" t="s">
        <v>385</v>
      </c>
      <c r="N101" s="192" t="s">
        <v>386</v>
      </c>
      <c r="O101" s="192" t="s">
        <v>387</v>
      </c>
      <c r="P101" s="192" t="s">
        <v>388</v>
      </c>
      <c r="Q101" s="133" t="s">
        <v>1399</v>
      </c>
      <c r="R101" s="318" t="s">
        <v>3731</v>
      </c>
      <c r="T101" s="133">
        <v>2550</v>
      </c>
      <c r="U101" s="133">
        <v>1605</v>
      </c>
      <c r="AA101" s="179" t="s">
        <v>3383</v>
      </c>
      <c r="AB101" t="s">
        <v>4581</v>
      </c>
      <c r="AH101" s="192" t="s">
        <v>328</v>
      </c>
      <c r="AI101" s="192" t="s">
        <v>3152</v>
      </c>
    </row>
    <row r="102" spans="1:35">
      <c r="A102" s="566"/>
      <c r="B102" s="182" t="s">
        <v>2196</v>
      </c>
      <c r="C102" s="170">
        <f t="shared" si="14"/>
        <v>27.538704000000006</v>
      </c>
      <c r="D102" s="134"/>
      <c r="E102">
        <v>157.12618723199998</v>
      </c>
      <c r="G102">
        <v>6.1819200000000007</v>
      </c>
      <c r="H102"/>
      <c r="I102">
        <v>27.538704000000006</v>
      </c>
      <c r="J102" s="251"/>
      <c r="K102">
        <v>2137.5912960000005</v>
      </c>
      <c r="L102" s="251"/>
      <c r="M102" s="192" t="s">
        <v>1139</v>
      </c>
      <c r="N102" s="192" t="s">
        <v>1139</v>
      </c>
      <c r="O102" s="192" t="s">
        <v>1140</v>
      </c>
      <c r="P102" s="192" t="s">
        <v>1138</v>
      </c>
      <c r="Q102" s="133" t="s">
        <v>1438</v>
      </c>
      <c r="R102" s="318" t="s">
        <v>3723</v>
      </c>
      <c r="AA102" s="180" t="s">
        <v>3387</v>
      </c>
      <c r="AB102" t="s">
        <v>4582</v>
      </c>
      <c r="AH102" s="192" t="s">
        <v>869</v>
      </c>
      <c r="AI102" s="192" t="s">
        <v>3153</v>
      </c>
    </row>
    <row r="103" spans="1:35">
      <c r="A103" s="566"/>
      <c r="B103" s="182" t="s">
        <v>2198</v>
      </c>
      <c r="C103" s="170">
        <f t="shared" si="14"/>
        <v>29.113344000000001</v>
      </c>
      <c r="D103" s="249"/>
      <c r="E103" s="251">
        <v>166.14551520000003</v>
      </c>
      <c r="F103" s="251"/>
      <c r="G103" s="134">
        <v>6.5318400000000008</v>
      </c>
      <c r="H103" s="134"/>
      <c r="I103" s="251">
        <v>29.113344000000001</v>
      </c>
      <c r="J103" s="251"/>
      <c r="K103" s="251">
        <v>2260.2965760000002</v>
      </c>
      <c r="L103" s="251"/>
      <c r="M103" s="192" t="s">
        <v>988</v>
      </c>
      <c r="N103" s="192" t="s">
        <v>988</v>
      </c>
      <c r="O103" s="192" t="s">
        <v>1136</v>
      </c>
      <c r="P103" s="192" t="s">
        <v>1137</v>
      </c>
      <c r="Q103" s="133" t="s">
        <v>1436</v>
      </c>
      <c r="R103" s="318" t="s">
        <v>3724</v>
      </c>
      <c r="AA103" s="179" t="s">
        <v>3291</v>
      </c>
      <c r="AB103" t="s">
        <v>4583</v>
      </c>
      <c r="AH103" s="192" t="s">
        <v>861</v>
      </c>
      <c r="AI103" s="192" t="s">
        <v>3154</v>
      </c>
    </row>
    <row r="104" spans="1:35">
      <c r="A104" s="566"/>
      <c r="B104" s="185" t="str">
        <f t="shared" ref="B104:B143" si="15">IF($D$1=1,M104,
IF($D$1=2,N104,
IF($D$1=3,O104,
IF($D$1=4,P104,
IF($D$1=5,Q104,
IF($D$1=6,R104,0))))))</f>
        <v>Folia</v>
      </c>
      <c r="C104" s="170">
        <f t="shared" si="14"/>
        <v>30.279744000000004</v>
      </c>
      <c r="D104" s="249"/>
      <c r="E104" s="251">
        <v>167.31191520000004</v>
      </c>
      <c r="G104" s="251">
        <v>7.6982400000000002</v>
      </c>
      <c r="I104" s="134">
        <v>30.279744000000004</v>
      </c>
      <c r="J104" s="251"/>
      <c r="K104" s="134">
        <v>2261.4629760000003</v>
      </c>
      <c r="L104" s="251"/>
      <c r="M104" s="192" t="s">
        <v>933</v>
      </c>
      <c r="N104" s="192" t="s">
        <v>933</v>
      </c>
      <c r="O104" s="192" t="s">
        <v>1141</v>
      </c>
      <c r="P104" s="192" t="s">
        <v>1142</v>
      </c>
      <c r="Q104" s="133" t="s">
        <v>1437</v>
      </c>
      <c r="R104" s="318" t="s">
        <v>3725</v>
      </c>
      <c r="AA104" s="179" t="s">
        <v>3292</v>
      </c>
      <c r="AB104" t="s">
        <v>4584</v>
      </c>
      <c r="AH104" s="192" t="s">
        <v>3592</v>
      </c>
      <c r="AI104" s="192" t="s">
        <v>3155</v>
      </c>
    </row>
    <row r="105" spans="1:35">
      <c r="A105" s="566"/>
      <c r="B105" s="185" t="str">
        <f t="shared" si="15"/>
        <v xml:space="preserve">Czyste hartowane (dostawa 3 tygodnie) </v>
      </c>
      <c r="C105" s="170">
        <f t="shared" si="14"/>
        <v>31.446144000000004</v>
      </c>
      <c r="D105" s="249"/>
      <c r="E105" s="251">
        <v>168.4783152</v>
      </c>
      <c r="F105" s="251"/>
      <c r="G105" s="134">
        <v>8.8646400000000014</v>
      </c>
      <c r="H105" s="134"/>
      <c r="I105" s="251">
        <v>31.446144000000004</v>
      </c>
      <c r="J105" s="251"/>
      <c r="K105" s="251">
        <v>2262.6293760000003</v>
      </c>
      <c r="L105" s="251"/>
      <c r="M105" s="192" t="s">
        <v>547</v>
      </c>
      <c r="N105" s="192" t="s">
        <v>548</v>
      </c>
      <c r="O105" s="192" t="s">
        <v>2378</v>
      </c>
      <c r="P105" s="192" t="s">
        <v>553</v>
      </c>
      <c r="Q105" s="133" t="s">
        <v>3601</v>
      </c>
      <c r="R105" s="318" t="s">
        <v>3726</v>
      </c>
      <c r="AA105" s="179" t="s">
        <v>3293</v>
      </c>
      <c r="AB105" t="s">
        <v>4585</v>
      </c>
      <c r="AH105" s="192" t="s">
        <v>3593</v>
      </c>
      <c r="AI105" s="192" t="s">
        <v>2567</v>
      </c>
    </row>
    <row r="106" spans="1:35">
      <c r="A106" s="566"/>
      <c r="B106" s="185" t="str">
        <f t="shared" si="15"/>
        <v xml:space="preserve">Satinato </v>
      </c>
      <c r="C106" s="170">
        <f t="shared" si="14"/>
        <v>260.0532</v>
      </c>
      <c r="D106" s="249"/>
      <c r="E106" s="251">
        <v>1644.1379999999999</v>
      </c>
      <c r="F106" s="251"/>
      <c r="G106" s="134">
        <v>57.140407185628746</v>
      </c>
      <c r="H106" s="134"/>
      <c r="I106" s="251">
        <v>260.0532</v>
      </c>
      <c r="J106" s="251"/>
      <c r="K106" s="251">
        <v>23398.548387096776</v>
      </c>
      <c r="L106" s="251"/>
      <c r="M106" s="192" t="s">
        <v>389</v>
      </c>
      <c r="N106" s="192" t="s">
        <v>389</v>
      </c>
      <c r="O106" s="192" t="s">
        <v>3142</v>
      </c>
      <c r="P106" s="192" t="s">
        <v>389</v>
      </c>
      <c r="Q106" s="133" t="s">
        <v>389</v>
      </c>
      <c r="R106" s="318" t="s">
        <v>389</v>
      </c>
      <c r="T106" s="133">
        <v>2550</v>
      </c>
      <c r="U106" s="133">
        <v>1605</v>
      </c>
      <c r="AA106" s="179" t="s">
        <v>3294</v>
      </c>
      <c r="AB106" t="s">
        <v>4586</v>
      </c>
      <c r="AH106" s="192" t="s">
        <v>3594</v>
      </c>
      <c r="AI106" s="192" t="s">
        <v>3159</v>
      </c>
    </row>
    <row r="107" spans="1:35">
      <c r="A107" s="566"/>
      <c r="B107" s="185" t="str">
        <f t="shared" si="15"/>
        <v xml:space="preserve">MASTER SOFT </v>
      </c>
      <c r="C107" s="170">
        <f t="shared" si="14"/>
        <v>337.15439999999995</v>
      </c>
      <c r="D107" s="249"/>
      <c r="E107" s="251">
        <v>2131.5959999999995</v>
      </c>
      <c r="F107" s="251"/>
      <c r="G107" s="134">
        <v>74.081532934131729</v>
      </c>
      <c r="H107" s="134"/>
      <c r="I107" s="251">
        <v>337.15439999999995</v>
      </c>
      <c r="J107" s="251"/>
      <c r="K107" s="251">
        <v>30335.806451612902</v>
      </c>
      <c r="L107" s="251"/>
      <c r="M107" s="192" t="s">
        <v>3521</v>
      </c>
      <c r="N107" s="192" t="s">
        <v>3521</v>
      </c>
      <c r="O107" s="192" t="s">
        <v>3143</v>
      </c>
      <c r="P107" s="192" t="s">
        <v>3521</v>
      </c>
      <c r="Q107" s="133" t="s">
        <v>3521</v>
      </c>
      <c r="R107" s="318" t="s">
        <v>3521</v>
      </c>
      <c r="T107" s="133">
        <v>2700</v>
      </c>
      <c r="U107" s="133">
        <v>1605</v>
      </c>
      <c r="AA107" s="179" t="s">
        <v>3295</v>
      </c>
      <c r="AB107" t="s">
        <v>4587</v>
      </c>
      <c r="AH107" s="192" t="s">
        <v>3595</v>
      </c>
      <c r="AI107" s="192" t="s">
        <v>3161</v>
      </c>
    </row>
    <row r="108" spans="1:35">
      <c r="A108" s="566"/>
      <c r="B108" s="185" t="str">
        <f t="shared" si="15"/>
        <v xml:space="preserve">Satinato brązowe/Decormat Braz </v>
      </c>
      <c r="C108" s="170">
        <f t="shared" si="14"/>
        <v>330.62040000000002</v>
      </c>
      <c r="D108" s="134"/>
      <c r="E108" s="251">
        <v>2090.2860000000001</v>
      </c>
      <c r="F108" s="251"/>
      <c r="G108" s="134">
        <v>72.64584431137726</v>
      </c>
      <c r="H108" s="134"/>
      <c r="I108" s="251">
        <v>330.62040000000002</v>
      </c>
      <c r="J108" s="251"/>
      <c r="K108" s="251">
        <v>29747.903225806454</v>
      </c>
      <c r="L108" s="251"/>
      <c r="M108" s="192" t="s">
        <v>3522</v>
      </c>
      <c r="N108" s="192" t="s">
        <v>3618</v>
      </c>
      <c r="O108" s="192" t="s">
        <v>3529</v>
      </c>
      <c r="P108" s="192" t="s">
        <v>3620</v>
      </c>
      <c r="Q108" s="133" t="s">
        <v>3621</v>
      </c>
      <c r="R108" s="318" t="s">
        <v>3732</v>
      </c>
      <c r="T108" s="133">
        <v>2700</v>
      </c>
      <c r="U108" s="133">
        <v>1605</v>
      </c>
      <c r="AA108" s="179" t="s">
        <v>3296</v>
      </c>
      <c r="AB108" t="s">
        <v>4588</v>
      </c>
      <c r="AH108" s="192" t="s">
        <v>3596</v>
      </c>
      <c r="AI108" s="192" t="s">
        <v>3164</v>
      </c>
    </row>
    <row r="109" spans="1:35">
      <c r="A109" s="566"/>
      <c r="B109" s="185" t="str">
        <f t="shared" si="15"/>
        <v xml:space="preserve">Satinato grafit  Decormat grafit </v>
      </c>
      <c r="C109" s="170">
        <f t="shared" si="14"/>
        <v>330.62040000000002</v>
      </c>
      <c r="D109" s="249"/>
      <c r="E109" s="251">
        <v>2090.2860000000001</v>
      </c>
      <c r="F109" s="251"/>
      <c r="G109" s="134">
        <v>72.64584431137726</v>
      </c>
      <c r="H109" s="134"/>
      <c r="I109" s="251">
        <v>330.62040000000002</v>
      </c>
      <c r="J109" s="251"/>
      <c r="K109" s="251">
        <v>29747.903225806454</v>
      </c>
      <c r="L109" s="251"/>
      <c r="M109" s="192" t="s">
        <v>3523</v>
      </c>
      <c r="N109" s="192" t="s">
        <v>3619</v>
      </c>
      <c r="O109" s="192" t="s">
        <v>3530</v>
      </c>
      <c r="P109" s="192" t="s">
        <v>3619</v>
      </c>
      <c r="Q109" s="133" t="s">
        <v>3622</v>
      </c>
      <c r="R109" s="318" t="s">
        <v>3733</v>
      </c>
      <c r="T109" s="133">
        <v>2700</v>
      </c>
      <c r="U109" s="133">
        <v>1605</v>
      </c>
      <c r="AA109" s="178" t="s">
        <v>3297</v>
      </c>
      <c r="AB109" t="s">
        <v>4589</v>
      </c>
      <c r="AH109" s="192" t="s">
        <v>3597</v>
      </c>
      <c r="AI109" s="192" t="s">
        <v>3165</v>
      </c>
    </row>
    <row r="110" spans="1:35">
      <c r="A110" s="566"/>
      <c r="B110" s="185" t="str">
        <f t="shared" si="15"/>
        <v>Masterscreen - maksymalne wymiary 2160 x 1650 mm</v>
      </c>
      <c r="C110" s="170">
        <f t="shared" si="14"/>
        <v>360.67679999999996</v>
      </c>
      <c r="D110" s="249"/>
      <c r="E110" s="251">
        <v>2280.3119999999999</v>
      </c>
      <c r="F110" s="251"/>
      <c r="G110" s="134">
        <v>79.250011976047915</v>
      </c>
      <c r="H110" s="134"/>
      <c r="I110" s="251">
        <v>360.67679999999996</v>
      </c>
      <c r="J110" s="251"/>
      <c r="K110" s="251">
        <v>32452.258064516129</v>
      </c>
      <c r="L110" s="251"/>
      <c r="M110" s="192" t="s">
        <v>3557</v>
      </c>
      <c r="N110" s="192" t="s">
        <v>3558</v>
      </c>
      <c r="O110" s="192" t="s">
        <v>3559</v>
      </c>
      <c r="P110" s="192" t="s">
        <v>3560</v>
      </c>
      <c r="Q110" s="133" t="s">
        <v>3561</v>
      </c>
      <c r="R110" s="318" t="s">
        <v>3734</v>
      </c>
      <c r="T110" s="133">
        <v>2160</v>
      </c>
      <c r="U110" s="133">
        <v>1650</v>
      </c>
      <c r="AA110" s="178" t="s">
        <v>3298</v>
      </c>
      <c r="AB110" t="s">
        <v>4590</v>
      </c>
      <c r="AH110" s="193" t="s">
        <v>3598</v>
      </c>
      <c r="AI110" s="192" t="s">
        <v>3172</v>
      </c>
    </row>
    <row r="111" spans="1:35">
      <c r="A111" s="566"/>
      <c r="B111" s="185" t="str">
        <f t="shared" si="15"/>
        <v xml:space="preserve">Venus VG10 </v>
      </c>
      <c r="C111" s="170">
        <f t="shared" si="14"/>
        <v>326.17728000000005</v>
      </c>
      <c r="D111" s="134"/>
      <c r="E111" s="251">
        <v>2062.1952000000001</v>
      </c>
      <c r="F111" s="251"/>
      <c r="G111" s="134">
        <v>71.669576047904201</v>
      </c>
      <c r="H111" s="134"/>
      <c r="I111" s="251">
        <v>326.17728000000005</v>
      </c>
      <c r="J111" s="251"/>
      <c r="K111" s="251">
        <v>29348.129032258068</v>
      </c>
      <c r="L111" s="251"/>
      <c r="M111" s="192" t="s">
        <v>812</v>
      </c>
      <c r="N111" s="192" t="s">
        <v>812</v>
      </c>
      <c r="O111" s="192" t="s">
        <v>3146</v>
      </c>
      <c r="P111" s="192" t="s">
        <v>812</v>
      </c>
      <c r="Q111" s="192" t="s">
        <v>812</v>
      </c>
      <c r="R111" s="318" t="s">
        <v>812</v>
      </c>
      <c r="T111" s="133">
        <v>3210</v>
      </c>
      <c r="U111" s="133">
        <v>2250</v>
      </c>
      <c r="AA111" s="179" t="s">
        <v>4558</v>
      </c>
      <c r="AB111" t="s">
        <v>4591</v>
      </c>
      <c r="AH111" s="193" t="s">
        <v>3533</v>
      </c>
      <c r="AI111" s="192" t="s">
        <v>3173</v>
      </c>
    </row>
    <row r="112" spans="1:35">
      <c r="A112" s="566"/>
      <c r="B112" s="185" t="str">
        <f t="shared" si="15"/>
        <v>Stopsol brąz - maksymalne wymiary 2250 x 1605 mm</v>
      </c>
      <c r="C112" s="170">
        <f t="shared" si="14"/>
        <v>439.08479999999997</v>
      </c>
      <c r="D112" s="249"/>
      <c r="E112" s="251">
        <v>2776.0319999999997</v>
      </c>
      <c r="F112" s="251"/>
      <c r="G112" s="134">
        <v>96.478275449101787</v>
      </c>
      <c r="H112" s="134"/>
      <c r="I112" s="251">
        <v>439.08479999999997</v>
      </c>
      <c r="J112" s="251"/>
      <c r="K112" s="251">
        <v>39507.096774193546</v>
      </c>
      <c r="L112" s="251"/>
      <c r="M112" s="192" t="s">
        <v>3567</v>
      </c>
      <c r="N112" s="192" t="s">
        <v>3568</v>
      </c>
      <c r="O112" s="192" t="s">
        <v>3569</v>
      </c>
      <c r="P112" s="192" t="s">
        <v>3570</v>
      </c>
      <c r="Q112" s="133" t="s">
        <v>3571</v>
      </c>
      <c r="R112" s="318" t="s">
        <v>3727</v>
      </c>
      <c r="T112" s="133">
        <v>2250</v>
      </c>
      <c r="U112" s="133">
        <v>1605</v>
      </c>
      <c r="AA112" s="179" t="s">
        <v>3299</v>
      </c>
      <c r="AB112" t="s">
        <v>4433</v>
      </c>
      <c r="AH112" s="193" t="s">
        <v>3599</v>
      </c>
      <c r="AI112" s="192" t="s">
        <v>3174</v>
      </c>
    </row>
    <row r="113" spans="1:35">
      <c r="A113" s="566"/>
      <c r="B113" s="185" t="str">
        <f t="shared" si="15"/>
        <v xml:space="preserve">Lakomat </v>
      </c>
      <c r="C113" s="170">
        <f t="shared" si="14"/>
        <v>288.80279999999999</v>
      </c>
      <c r="D113" s="249"/>
      <c r="E113" s="251">
        <v>1825.9019999999998</v>
      </c>
      <c r="F113" s="251"/>
      <c r="G113" s="134">
        <v>63.457437125748505</v>
      </c>
      <c r="H113" s="134"/>
      <c r="I113" s="251">
        <v>288.80279999999999</v>
      </c>
      <c r="J113" s="251"/>
      <c r="K113" s="251">
        <v>25985.322580645159</v>
      </c>
      <c r="L113" s="251"/>
      <c r="M113" s="192" t="s">
        <v>390</v>
      </c>
      <c r="N113" s="192" t="s">
        <v>390</v>
      </c>
      <c r="O113" s="192" t="s">
        <v>3148</v>
      </c>
      <c r="P113" s="192" t="s">
        <v>390</v>
      </c>
      <c r="Q113" s="133" t="s">
        <v>3602</v>
      </c>
      <c r="R113" s="318" t="s">
        <v>390</v>
      </c>
      <c r="T113" s="133">
        <v>2550</v>
      </c>
      <c r="U113" s="133">
        <v>1605</v>
      </c>
      <c r="AA113" s="179" t="s">
        <v>3300</v>
      </c>
      <c r="AB113" t="s">
        <v>4592</v>
      </c>
      <c r="AH113" s="193" t="s">
        <v>3600</v>
      </c>
      <c r="AI113" s="192" t="s">
        <v>3175</v>
      </c>
    </row>
    <row r="114" spans="1:35">
      <c r="A114" s="566"/>
      <c r="B114" s="185" t="str">
        <f t="shared" si="15"/>
        <v>Planibel dark grey</v>
      </c>
      <c r="C114" s="170">
        <f t="shared" si="14"/>
        <v>319.79000000000002</v>
      </c>
      <c r="D114" s="249"/>
      <c r="E114" s="251">
        <v>2082.0239999999999</v>
      </c>
      <c r="F114" s="251"/>
      <c r="G114" s="134">
        <v>72.36</v>
      </c>
      <c r="H114" s="134"/>
      <c r="I114" s="251">
        <v>319.79000000000002</v>
      </c>
      <c r="J114" s="251"/>
      <c r="K114" s="251">
        <v>29630.32</v>
      </c>
      <c r="L114" s="251"/>
      <c r="M114" s="192" t="s">
        <v>4621</v>
      </c>
      <c r="N114" s="192" t="s">
        <v>4621</v>
      </c>
      <c r="O114" s="192" t="s">
        <v>4621</v>
      </c>
      <c r="P114" s="192" t="s">
        <v>4621</v>
      </c>
      <c r="Q114" s="192" t="s">
        <v>4621</v>
      </c>
      <c r="R114" s="192" t="s">
        <v>4621</v>
      </c>
      <c r="T114" s="133">
        <v>2000</v>
      </c>
      <c r="U114" s="133">
        <v>1605</v>
      </c>
      <c r="AA114" s="179" t="s">
        <v>3301</v>
      </c>
      <c r="AB114" t="s">
        <v>556</v>
      </c>
      <c r="AH114" s="193" t="s">
        <v>329</v>
      </c>
      <c r="AI114" s="192" t="s">
        <v>3178</v>
      </c>
    </row>
    <row r="115" spans="1:35">
      <c r="A115" s="566"/>
      <c r="B115" s="185" t="str">
        <f t="shared" si="15"/>
        <v xml:space="preserve">Antisol brąz </v>
      </c>
      <c r="C115" s="170">
        <f t="shared" ref="C115:C125" si="16">IF($D$1=1,E115,IF(OR($D$1=2,$D$1=5),G115,IF($D$1=3,I115,IF($D$1=4,K115,IF($D$1=6,G115*1.3,0)))))</f>
        <v>258.22368</v>
      </c>
      <c r="D115" s="249"/>
      <c r="E115" s="251">
        <v>1632.5712000000001</v>
      </c>
      <c r="F115" s="251"/>
      <c r="G115" s="134">
        <v>56.738414371257491</v>
      </c>
      <c r="H115" s="134"/>
      <c r="I115" s="251">
        <v>258.22368</v>
      </c>
      <c r="J115" s="251"/>
      <c r="K115" s="251">
        <v>23233.93548387097</v>
      </c>
      <c r="L115" s="251"/>
      <c r="M115" s="192" t="s">
        <v>397</v>
      </c>
      <c r="N115" s="192" t="s">
        <v>397</v>
      </c>
      <c r="O115" s="192" t="s">
        <v>3150</v>
      </c>
      <c r="P115" s="192" t="s">
        <v>397</v>
      </c>
      <c r="Q115" s="133" t="s">
        <v>892</v>
      </c>
      <c r="R115" s="318" t="s">
        <v>892</v>
      </c>
      <c r="T115" s="133">
        <v>2550</v>
      </c>
      <c r="U115" s="133">
        <v>1605</v>
      </c>
      <c r="AA115" s="179" t="s">
        <v>3302</v>
      </c>
      <c r="AB115" t="s">
        <v>4593</v>
      </c>
      <c r="AH115" s="193" t="s">
        <v>330</v>
      </c>
      <c r="AI115" s="192" t="s">
        <v>3180</v>
      </c>
    </row>
    <row r="116" spans="1:35">
      <c r="A116" s="566"/>
      <c r="B116" s="185" t="str">
        <f t="shared" si="15"/>
        <v xml:space="preserve">Antisol grafit </v>
      </c>
      <c r="C116" s="170">
        <f t="shared" si="16"/>
        <v>258.22368</v>
      </c>
      <c r="D116" s="249"/>
      <c r="E116" s="251">
        <v>1632.5712000000001</v>
      </c>
      <c r="F116" s="251"/>
      <c r="G116" s="134">
        <v>56.738414371257491</v>
      </c>
      <c r="H116" s="134"/>
      <c r="I116" s="251">
        <v>258.22368</v>
      </c>
      <c r="J116" s="251"/>
      <c r="K116" s="251">
        <v>23233.93548387097</v>
      </c>
      <c r="L116" s="251"/>
      <c r="M116" s="192" t="s">
        <v>398</v>
      </c>
      <c r="N116" s="192" t="s">
        <v>398</v>
      </c>
      <c r="O116" s="192" t="s">
        <v>3151</v>
      </c>
      <c r="P116" s="192" t="s">
        <v>398</v>
      </c>
      <c r="Q116" s="133" t="s">
        <v>893</v>
      </c>
      <c r="R116" s="318" t="s">
        <v>893</v>
      </c>
      <c r="T116" s="133">
        <v>2550</v>
      </c>
      <c r="U116" s="133">
        <v>1605</v>
      </c>
      <c r="AA116" s="180" t="s">
        <v>3303</v>
      </c>
      <c r="AB116" t="s">
        <v>4594</v>
      </c>
      <c r="AH116" s="193" t="s">
        <v>872</v>
      </c>
      <c r="AI116" s="192" t="s">
        <v>3181</v>
      </c>
    </row>
    <row r="117" spans="1:35">
      <c r="A117" s="566"/>
      <c r="B117" s="185" t="str">
        <f t="shared" si="15"/>
        <v xml:space="preserve">Lustro </v>
      </c>
      <c r="C117" s="170">
        <f t="shared" si="16"/>
        <v>271.81440000000003</v>
      </c>
      <c r="D117" s="249"/>
      <c r="E117" s="251">
        <v>1718.4960000000001</v>
      </c>
      <c r="F117" s="251"/>
      <c r="G117" s="134">
        <v>59.724646706586839</v>
      </c>
      <c r="H117" s="134"/>
      <c r="I117" s="251">
        <v>271.81440000000003</v>
      </c>
      <c r="J117" s="251"/>
      <c r="K117" s="251">
        <v>24456.774193548394</v>
      </c>
      <c r="L117" s="251"/>
      <c r="M117" s="192" t="s">
        <v>391</v>
      </c>
      <c r="N117" s="192" t="s">
        <v>392</v>
      </c>
      <c r="O117" s="192" t="s">
        <v>3152</v>
      </c>
      <c r="P117" s="192" t="s">
        <v>328</v>
      </c>
      <c r="Q117" s="133" t="s">
        <v>894</v>
      </c>
      <c r="R117" s="318" t="s">
        <v>3735</v>
      </c>
      <c r="T117" s="133">
        <v>2550</v>
      </c>
      <c r="U117" s="133">
        <v>1605</v>
      </c>
      <c r="AA117" s="179" t="s">
        <v>3304</v>
      </c>
      <c r="AB117" t="s">
        <v>4445</v>
      </c>
      <c r="AH117" s="133" t="s">
        <v>1399</v>
      </c>
      <c r="AI117" s="192" t="s">
        <v>387</v>
      </c>
    </row>
    <row r="118" spans="1:35">
      <c r="A118" s="566"/>
      <c r="B118" s="185" t="str">
        <f t="shared" si="15"/>
        <v xml:space="preserve">Lustro brązowe </v>
      </c>
      <c r="C118" s="170">
        <f t="shared" si="16"/>
        <v>356.75640000000004</v>
      </c>
      <c r="D118" s="249"/>
      <c r="E118" s="251">
        <v>2255.5260000000003</v>
      </c>
      <c r="F118" s="251"/>
      <c r="G118" s="134">
        <v>78.388598802395222</v>
      </c>
      <c r="H118" s="134"/>
      <c r="I118" s="251">
        <v>356.75640000000004</v>
      </c>
      <c r="J118" s="251"/>
      <c r="K118" s="251">
        <v>32099.516129032261</v>
      </c>
      <c r="L118" s="251"/>
      <c r="M118" s="192" t="s">
        <v>857</v>
      </c>
      <c r="N118" s="192" t="s">
        <v>865</v>
      </c>
      <c r="O118" s="192" t="s">
        <v>3153</v>
      </c>
      <c r="P118" s="192" t="s">
        <v>869</v>
      </c>
      <c r="Q118" s="133" t="s">
        <v>895</v>
      </c>
      <c r="R118" s="318" t="s">
        <v>3736</v>
      </c>
      <c r="T118" s="133">
        <v>2250</v>
      </c>
      <c r="U118" s="133">
        <v>1605</v>
      </c>
      <c r="AA118" s="178" t="s">
        <v>3305</v>
      </c>
      <c r="AB118" t="s">
        <v>4595</v>
      </c>
      <c r="AH118" s="133" t="s">
        <v>1438</v>
      </c>
      <c r="AI118" s="192" t="s">
        <v>1140</v>
      </c>
    </row>
    <row r="119" spans="1:35">
      <c r="A119" s="566"/>
      <c r="B119" s="185" t="str">
        <f t="shared" si="15"/>
        <v xml:space="preserve">Lustro grafit </v>
      </c>
      <c r="C119" s="170">
        <f t="shared" si="16"/>
        <v>356.75640000000004</v>
      </c>
      <c r="D119" s="249"/>
      <c r="E119" s="251">
        <v>2255.5260000000003</v>
      </c>
      <c r="F119" s="251"/>
      <c r="G119" s="134">
        <v>78.388598802395222</v>
      </c>
      <c r="H119" s="134"/>
      <c r="I119" s="251">
        <v>356.75640000000004</v>
      </c>
      <c r="J119" s="251"/>
      <c r="K119" s="251">
        <v>32099.516129032261</v>
      </c>
      <c r="L119" s="251"/>
      <c r="M119" s="192" t="s">
        <v>858</v>
      </c>
      <c r="N119" s="192" t="s">
        <v>859</v>
      </c>
      <c r="O119" s="192" t="s">
        <v>3154</v>
      </c>
      <c r="P119" s="192" t="s">
        <v>861</v>
      </c>
      <c r="Q119" s="133" t="s">
        <v>3603</v>
      </c>
      <c r="R119" s="318" t="s">
        <v>3728</v>
      </c>
      <c r="T119" s="133">
        <v>2550</v>
      </c>
      <c r="U119" s="133">
        <v>1605</v>
      </c>
      <c r="AA119" s="178" t="s">
        <v>3306</v>
      </c>
      <c r="AB119" t="s">
        <v>4596</v>
      </c>
      <c r="AH119" s="133" t="s">
        <v>1436</v>
      </c>
      <c r="AI119" s="192" t="s">
        <v>1136</v>
      </c>
    </row>
    <row r="120" spans="1:35">
      <c r="A120" s="566"/>
      <c r="B120" s="185" t="str">
        <f t="shared" si="15"/>
        <v xml:space="preserve">VISIOSUN poziomo </v>
      </c>
      <c r="C120" s="170">
        <f t="shared" si="16"/>
        <v>337.15439999999995</v>
      </c>
      <c r="D120" s="249"/>
      <c r="E120" s="251">
        <v>2131.5959999999995</v>
      </c>
      <c r="F120" s="251"/>
      <c r="G120" s="134">
        <v>74.081532934131729</v>
      </c>
      <c r="H120" s="134"/>
      <c r="I120" s="251">
        <v>337.15439999999995</v>
      </c>
      <c r="J120" s="251"/>
      <c r="K120" s="251">
        <v>30335.806451612902</v>
      </c>
      <c r="L120" s="251"/>
      <c r="M120" s="192" t="s">
        <v>3546</v>
      </c>
      <c r="N120" s="192" t="s">
        <v>3546</v>
      </c>
      <c r="O120" s="192" t="s">
        <v>3155</v>
      </c>
      <c r="P120" s="192" t="s">
        <v>3592</v>
      </c>
      <c r="Q120" s="133" t="s">
        <v>3546</v>
      </c>
      <c r="R120" s="318" t="s">
        <v>3737</v>
      </c>
      <c r="T120" s="133">
        <v>3210</v>
      </c>
      <c r="U120" s="133">
        <v>2000</v>
      </c>
      <c r="AA120" s="178" t="s">
        <v>3307</v>
      </c>
      <c r="AB120" t="s">
        <v>4597</v>
      </c>
      <c r="AH120" s="133" t="s">
        <v>1437</v>
      </c>
      <c r="AI120" s="192" t="s">
        <v>1141</v>
      </c>
    </row>
    <row r="121" spans="1:35">
      <c r="A121" s="566"/>
      <c r="B121" s="185" t="str">
        <f t="shared" si="15"/>
        <v>Krizet - maksymalne wymiary 2130 x 1650 mm</v>
      </c>
      <c r="C121" s="170">
        <f t="shared" si="16"/>
        <v>360.67679999999996</v>
      </c>
      <c r="D121" s="249"/>
      <c r="E121" s="251">
        <v>2280.3119999999999</v>
      </c>
      <c r="F121" s="251"/>
      <c r="G121" s="134">
        <v>79.250011976047915</v>
      </c>
      <c r="H121" s="134"/>
      <c r="I121" s="251">
        <v>360.67679999999996</v>
      </c>
      <c r="J121" s="251"/>
      <c r="K121" s="251">
        <v>32452.258064516129</v>
      </c>
      <c r="L121" s="251"/>
      <c r="M121" s="192" t="s">
        <v>3562</v>
      </c>
      <c r="N121" s="192" t="s">
        <v>3563</v>
      </c>
      <c r="O121" s="192" t="s">
        <v>3564</v>
      </c>
      <c r="P121" s="192" t="s">
        <v>3565</v>
      </c>
      <c r="Q121" s="133" t="s">
        <v>3566</v>
      </c>
      <c r="R121" s="318" t="s">
        <v>3729</v>
      </c>
      <c r="T121" s="133">
        <v>2130</v>
      </c>
      <c r="U121" s="133">
        <v>1650</v>
      </c>
      <c r="AA121" s="202" t="s">
        <v>3392</v>
      </c>
      <c r="AB121" t="s">
        <v>4598</v>
      </c>
      <c r="AH121" s="133" t="s">
        <v>3601</v>
      </c>
      <c r="AI121" s="192" t="s">
        <v>3141</v>
      </c>
    </row>
    <row r="122" spans="1:35">
      <c r="A122" s="566"/>
      <c r="B122" s="185" t="str">
        <f t="shared" si="15"/>
        <v xml:space="preserve">Master (Carre) </v>
      </c>
      <c r="C122" s="170">
        <f t="shared" si="16"/>
        <v>292.20047999999997</v>
      </c>
      <c r="D122" s="249"/>
      <c r="E122" s="251">
        <v>1847.3831999999998</v>
      </c>
      <c r="F122" s="251"/>
      <c r="G122" s="134">
        <v>64.203995209580839</v>
      </c>
      <c r="H122" s="134"/>
      <c r="I122" s="251">
        <v>292.20047999999997</v>
      </c>
      <c r="J122" s="251"/>
      <c r="K122" s="251">
        <v>26291.032258064515</v>
      </c>
      <c r="L122" s="251"/>
      <c r="M122" s="192" t="s">
        <v>394</v>
      </c>
      <c r="N122" s="192" t="s">
        <v>394</v>
      </c>
      <c r="O122" s="192" t="s">
        <v>3157</v>
      </c>
      <c r="P122" s="192" t="s">
        <v>394</v>
      </c>
      <c r="Q122" s="133" t="s">
        <v>394</v>
      </c>
      <c r="R122" s="318" t="s">
        <v>394</v>
      </c>
      <c r="T122" s="133">
        <v>2700</v>
      </c>
      <c r="U122" s="133">
        <v>1605</v>
      </c>
      <c r="AA122" s="178" t="s">
        <v>3308</v>
      </c>
      <c r="AB122" t="s">
        <v>4599</v>
      </c>
      <c r="AH122" s="133" t="s">
        <v>889</v>
      </c>
      <c r="AI122" s="192" t="s">
        <v>3144</v>
      </c>
    </row>
    <row r="123" spans="1:35">
      <c r="A123" s="566"/>
      <c r="B123" s="185" t="str">
        <f t="shared" si="15"/>
        <v xml:space="preserve">Master  Ligne poziomo </v>
      </c>
      <c r="C123" s="170">
        <f t="shared" si="16"/>
        <v>292.20047999999997</v>
      </c>
      <c r="D123" s="249"/>
      <c r="E123" s="251">
        <v>1847.3831999999998</v>
      </c>
      <c r="F123" s="251"/>
      <c r="G123" s="134">
        <v>64.203995209580839</v>
      </c>
      <c r="H123" s="134"/>
      <c r="I123" s="251">
        <v>292.20047999999997</v>
      </c>
      <c r="J123" s="251"/>
      <c r="K123" s="251">
        <v>26291.032258064515</v>
      </c>
      <c r="L123" s="251"/>
      <c r="M123" s="193" t="s">
        <v>3547</v>
      </c>
      <c r="N123" s="192" t="s">
        <v>3547</v>
      </c>
      <c r="O123" s="192" t="s">
        <v>2567</v>
      </c>
      <c r="P123" s="192" t="s">
        <v>3593</v>
      </c>
      <c r="Q123" s="133" t="s">
        <v>3604</v>
      </c>
      <c r="R123" s="318" t="s">
        <v>3738</v>
      </c>
      <c r="T123" s="133">
        <v>2700</v>
      </c>
      <c r="U123" s="133">
        <v>1605</v>
      </c>
      <c r="AA123" s="178" t="s">
        <v>3309</v>
      </c>
      <c r="AB123" t="s">
        <v>4600</v>
      </c>
      <c r="AH123" s="133" t="s">
        <v>890</v>
      </c>
      <c r="AI123" s="192" t="s">
        <v>3145</v>
      </c>
    </row>
    <row r="124" spans="1:35">
      <c r="A124" s="566"/>
      <c r="B124" s="185" t="str">
        <f t="shared" si="15"/>
        <v xml:space="preserve">Master  Point </v>
      </c>
      <c r="C124" s="170">
        <f t="shared" si="16"/>
        <v>292.20047999999997</v>
      </c>
      <c r="D124" s="249"/>
      <c r="E124" s="251">
        <v>1847.3831999999998</v>
      </c>
      <c r="F124" s="251"/>
      <c r="G124" s="134">
        <v>64.203995209580839</v>
      </c>
      <c r="H124" s="134"/>
      <c r="I124" s="251">
        <v>292.20047999999997</v>
      </c>
      <c r="J124" s="251"/>
      <c r="K124" s="251">
        <v>26291.032258064515</v>
      </c>
      <c r="L124" s="251"/>
      <c r="M124" s="193" t="s">
        <v>395</v>
      </c>
      <c r="N124" s="192" t="s">
        <v>395</v>
      </c>
      <c r="O124" s="192" t="s">
        <v>3158</v>
      </c>
      <c r="P124" s="192" t="s">
        <v>395</v>
      </c>
      <c r="Q124" s="133" t="s">
        <v>896</v>
      </c>
      <c r="R124" s="318" t="s">
        <v>896</v>
      </c>
      <c r="T124" s="133">
        <v>2700</v>
      </c>
      <c r="U124" s="133">
        <v>1605</v>
      </c>
      <c r="AA124" s="178" t="s">
        <v>3310</v>
      </c>
      <c r="AB124" t="s">
        <v>4601</v>
      </c>
      <c r="AH124" s="133" t="s">
        <v>891</v>
      </c>
      <c r="AI124" s="192" t="s">
        <v>3147</v>
      </c>
    </row>
    <row r="125" spans="1:35">
      <c r="A125" s="566"/>
      <c r="B125" s="185" t="str">
        <f t="shared" si="15"/>
        <v xml:space="preserve">FLUTES poziomo </v>
      </c>
      <c r="C125" s="170">
        <f t="shared" si="16"/>
        <v>450.846</v>
      </c>
      <c r="D125" s="249"/>
      <c r="E125" s="251">
        <v>2850.3900000000003</v>
      </c>
      <c r="F125" s="251"/>
      <c r="G125" s="134">
        <v>99.062514970059908</v>
      </c>
      <c r="H125" s="134"/>
      <c r="I125" s="251">
        <v>450.846</v>
      </c>
      <c r="J125" s="251"/>
      <c r="K125" s="251">
        <v>40565.322580645166</v>
      </c>
      <c r="L125" s="251"/>
      <c r="M125" s="193" t="s">
        <v>3548</v>
      </c>
      <c r="N125" s="192" t="s">
        <v>3548</v>
      </c>
      <c r="O125" s="192" t="s">
        <v>3159</v>
      </c>
      <c r="P125" s="192" t="s">
        <v>3594</v>
      </c>
      <c r="Q125" s="133" t="s">
        <v>3548</v>
      </c>
      <c r="R125" s="318" t="s">
        <v>3739</v>
      </c>
      <c r="T125" s="133">
        <v>2540</v>
      </c>
      <c r="U125" s="133">
        <v>1610</v>
      </c>
      <c r="AA125" s="178" t="s">
        <v>3311</v>
      </c>
      <c r="AB125" t="s">
        <v>4602</v>
      </c>
      <c r="AH125" s="133" t="s">
        <v>3602</v>
      </c>
      <c r="AI125" s="192" t="s">
        <v>3148</v>
      </c>
    </row>
    <row r="126" spans="1:35">
      <c r="A126" s="566"/>
      <c r="B126" s="182"/>
      <c r="C126" s="249"/>
      <c r="D126" s="134"/>
      <c r="E126" s="251"/>
      <c r="F126" s="251"/>
      <c r="G126" s="134"/>
      <c r="H126" s="134"/>
      <c r="I126" s="251"/>
      <c r="J126" s="251"/>
      <c r="K126" s="251"/>
      <c r="L126" s="251"/>
      <c r="M126" s="193"/>
      <c r="N126" s="192"/>
      <c r="O126" s="192"/>
      <c r="P126" s="192"/>
      <c r="AA126" s="178" t="s">
        <v>3312</v>
      </c>
      <c r="AB126" t="s">
        <v>4603</v>
      </c>
      <c r="AH126" s="133" t="s">
        <v>892</v>
      </c>
      <c r="AI126" s="192" t="s">
        <v>3150</v>
      </c>
    </row>
    <row r="127" spans="1:35">
      <c r="A127" s="566"/>
      <c r="B127" s="185" t="str">
        <f t="shared" si="15"/>
        <v xml:space="preserve">Master  Ligne pionowo </v>
      </c>
      <c r="C127" s="170">
        <f t="shared" ref="C127:C133" si="17">IF($D$1=1,E127,IF(OR($D$1=2,$D$1=5),G127,IF($D$1=3,I127,IF($D$1=4,K127,IF($D$1=6,G127*1.3,0)))))</f>
        <v>292.20047999999997</v>
      </c>
      <c r="D127" s="134"/>
      <c r="E127" s="251">
        <v>1847.3831999999998</v>
      </c>
      <c r="F127" s="251"/>
      <c r="G127" s="134">
        <v>64.203995209580839</v>
      </c>
      <c r="H127" s="134"/>
      <c r="I127" s="251">
        <v>292.20047999999997</v>
      </c>
      <c r="J127" s="251"/>
      <c r="K127" s="251">
        <v>26291.032258064515</v>
      </c>
      <c r="L127" s="251"/>
      <c r="M127" s="193" t="s">
        <v>3549</v>
      </c>
      <c r="N127" s="192" t="s">
        <v>3526</v>
      </c>
      <c r="O127" s="192" t="s">
        <v>3161</v>
      </c>
      <c r="P127" s="192" t="s">
        <v>3595</v>
      </c>
      <c r="Q127" s="133" t="s">
        <v>3605</v>
      </c>
      <c r="R127" s="318" t="s">
        <v>3740</v>
      </c>
      <c r="T127" s="133">
        <v>2700</v>
      </c>
      <c r="U127" s="133">
        <v>1605</v>
      </c>
      <c r="AA127" s="178" t="s">
        <v>3313</v>
      </c>
      <c r="AB127" t="s">
        <v>4604</v>
      </c>
      <c r="AH127" s="133" t="s">
        <v>893</v>
      </c>
      <c r="AI127" s="192" t="s">
        <v>3151</v>
      </c>
    </row>
    <row r="128" spans="1:35">
      <c r="A128" s="566"/>
      <c r="B128" s="185" t="str">
        <f t="shared" si="15"/>
        <v xml:space="preserve">Lacobel RAL 1013 </v>
      </c>
      <c r="C128" s="170">
        <f t="shared" si="17"/>
        <v>376.35839999999996</v>
      </c>
      <c r="D128" s="134"/>
      <c r="E128" s="251">
        <v>2379.4559999999997</v>
      </c>
      <c r="F128" s="251"/>
      <c r="G128" s="134">
        <v>82.695664670658687</v>
      </c>
      <c r="H128" s="134"/>
      <c r="I128" s="251">
        <v>376.35839999999996</v>
      </c>
      <c r="J128" s="251"/>
      <c r="K128" s="251">
        <v>33863.225806451606</v>
      </c>
      <c r="L128" s="251"/>
      <c r="M128" s="193" t="s">
        <v>35</v>
      </c>
      <c r="N128" s="193" t="s">
        <v>35</v>
      </c>
      <c r="O128" s="192" t="s">
        <v>3162</v>
      </c>
      <c r="P128" s="193" t="s">
        <v>35</v>
      </c>
      <c r="Q128" s="133" t="s">
        <v>35</v>
      </c>
      <c r="R128" s="318" t="s">
        <v>35</v>
      </c>
      <c r="T128" s="133">
        <v>2550</v>
      </c>
      <c r="U128" s="133">
        <v>1605</v>
      </c>
      <c r="AA128" s="202" t="s">
        <v>3314</v>
      </c>
      <c r="AB128" t="s">
        <v>4605</v>
      </c>
      <c r="AH128" s="133" t="s">
        <v>894</v>
      </c>
      <c r="AI128" s="192" t="s">
        <v>3152</v>
      </c>
    </row>
    <row r="129" spans="1:35">
      <c r="A129" s="566"/>
      <c r="B129" s="185" t="str">
        <f t="shared" si="15"/>
        <v xml:space="preserve">Lacobel RAL 1015 </v>
      </c>
      <c r="C129" s="170">
        <f t="shared" si="17"/>
        <v>313.63200000000001</v>
      </c>
      <c r="D129" s="134"/>
      <c r="E129" s="251">
        <v>1982.8799999999997</v>
      </c>
      <c r="F129" s="251"/>
      <c r="G129" s="134">
        <v>68.913053892215572</v>
      </c>
      <c r="H129" s="134"/>
      <c r="I129" s="251">
        <v>313.63200000000001</v>
      </c>
      <c r="J129" s="251"/>
      <c r="K129" s="251">
        <v>28219.354838709674</v>
      </c>
      <c r="L129" s="251"/>
      <c r="M129" s="193" t="s">
        <v>29</v>
      </c>
      <c r="N129" s="193" t="s">
        <v>29</v>
      </c>
      <c r="O129" s="192" t="s">
        <v>3163</v>
      </c>
      <c r="P129" s="193" t="s">
        <v>29</v>
      </c>
      <c r="Q129" s="133" t="s">
        <v>29</v>
      </c>
      <c r="R129" s="318" t="s">
        <v>29</v>
      </c>
      <c r="T129" s="133">
        <v>2550</v>
      </c>
      <c r="U129" s="133">
        <v>1605</v>
      </c>
      <c r="AA129" s="202" t="s">
        <v>3396</v>
      </c>
      <c r="AB129" t="s">
        <v>4606</v>
      </c>
      <c r="AH129" s="133" t="s">
        <v>895</v>
      </c>
      <c r="AI129" s="192" t="s">
        <v>3153</v>
      </c>
    </row>
    <row r="130" spans="1:35">
      <c r="A130" s="566"/>
      <c r="B130" s="185" t="str">
        <f t="shared" si="15"/>
        <v xml:space="preserve">FLUTES pionowo </v>
      </c>
      <c r="C130" s="170">
        <f t="shared" si="17"/>
        <v>450.846</v>
      </c>
      <c r="D130" s="134"/>
      <c r="E130" s="251">
        <v>2850.3900000000003</v>
      </c>
      <c r="F130" s="251"/>
      <c r="G130" s="134">
        <v>99.062514970059908</v>
      </c>
      <c r="H130" s="134"/>
      <c r="I130" s="251">
        <v>450.846</v>
      </c>
      <c r="J130" s="251"/>
      <c r="K130" s="251">
        <v>40565.322580645166</v>
      </c>
      <c r="L130" s="251"/>
      <c r="M130" s="193" t="s">
        <v>3550</v>
      </c>
      <c r="N130" s="192" t="s">
        <v>3577</v>
      </c>
      <c r="O130" s="192" t="s">
        <v>3164</v>
      </c>
      <c r="P130" s="192" t="s">
        <v>3596</v>
      </c>
      <c r="Q130" s="133" t="s">
        <v>3606</v>
      </c>
      <c r="R130" s="318" t="s">
        <v>3606</v>
      </c>
      <c r="T130" s="133">
        <v>2550</v>
      </c>
      <c r="U130" s="133">
        <v>1605</v>
      </c>
      <c r="AA130" s="177" t="s">
        <v>3400</v>
      </c>
      <c r="AB130" t="s">
        <v>4607</v>
      </c>
      <c r="AH130" s="133" t="s">
        <v>3603</v>
      </c>
      <c r="AI130" s="192" t="s">
        <v>3154</v>
      </c>
    </row>
    <row r="131" spans="1:35">
      <c r="A131" s="566"/>
      <c r="B131" s="185" t="str">
        <f t="shared" si="15"/>
        <v xml:space="preserve">VISIOSUN pionowo </v>
      </c>
      <c r="C131" s="170">
        <f t="shared" si="17"/>
        <v>337.15439999999995</v>
      </c>
      <c r="D131" s="134"/>
      <c r="E131" s="251">
        <v>2131.5959999999995</v>
      </c>
      <c r="F131" s="251"/>
      <c r="G131" s="134">
        <v>74.081532934131729</v>
      </c>
      <c r="H131" s="134"/>
      <c r="I131" s="251">
        <v>337.15439999999995</v>
      </c>
      <c r="J131" s="251"/>
      <c r="K131" s="251">
        <v>30335.806451612902</v>
      </c>
      <c r="L131" s="251"/>
      <c r="M131" s="192" t="s">
        <v>3524</v>
      </c>
      <c r="N131" s="192" t="s">
        <v>3578</v>
      </c>
      <c r="O131" s="192" t="s">
        <v>3165</v>
      </c>
      <c r="P131" s="192" t="s">
        <v>3597</v>
      </c>
      <c r="Q131" s="133" t="s">
        <v>3607</v>
      </c>
      <c r="R131" s="318" t="s">
        <v>3607</v>
      </c>
      <c r="T131" s="133">
        <v>3210</v>
      </c>
      <c r="U131" s="133">
        <v>2000</v>
      </c>
      <c r="AA131" s="178" t="s">
        <v>4396</v>
      </c>
      <c r="AB131" t="s">
        <v>4418</v>
      </c>
      <c r="AH131" s="133" t="s">
        <v>3604</v>
      </c>
      <c r="AI131" s="192" t="s">
        <v>2567</v>
      </c>
    </row>
    <row r="132" spans="1:35">
      <c r="A132" s="566"/>
      <c r="B132" s="185" t="str">
        <f t="shared" si="15"/>
        <v xml:space="preserve">VISIOSUN satyna pionowo </v>
      </c>
      <c r="C132" s="170">
        <f t="shared" si="17"/>
        <v>504.42750000000001</v>
      </c>
      <c r="D132" s="134"/>
      <c r="E132" s="251">
        <v>3098.25</v>
      </c>
      <c r="F132" s="251"/>
      <c r="G132" s="134">
        <v>107.67664670658684</v>
      </c>
      <c r="H132" s="249"/>
      <c r="I132" s="251">
        <v>504.42750000000001</v>
      </c>
      <c r="J132" s="251"/>
      <c r="K132" s="251">
        <v>44092.741935483871</v>
      </c>
      <c r="L132" s="251"/>
      <c r="M132" s="192" t="s">
        <v>3525</v>
      </c>
      <c r="N132" s="192" t="s">
        <v>3611</v>
      </c>
      <c r="O132" s="192" t="s">
        <v>3531</v>
      </c>
      <c r="P132" s="192" t="s">
        <v>3612</v>
      </c>
      <c r="Q132" s="133" t="s">
        <v>3613</v>
      </c>
      <c r="R132" s="318" t="s">
        <v>3741</v>
      </c>
      <c r="T132" s="133">
        <v>2000</v>
      </c>
      <c r="U132" s="133">
        <v>1605</v>
      </c>
      <c r="AA132" s="178" t="s">
        <v>4402</v>
      </c>
      <c r="AB132" t="s">
        <v>4608</v>
      </c>
      <c r="AH132" s="133" t="s">
        <v>896</v>
      </c>
      <c r="AI132" s="192" t="s">
        <v>3158</v>
      </c>
    </row>
    <row r="133" spans="1:35">
      <c r="A133" s="566"/>
      <c r="B133" s="185" t="str">
        <f t="shared" si="15"/>
        <v xml:space="preserve">VISIOSUN satyna poziomo </v>
      </c>
      <c r="C133" s="170">
        <f t="shared" si="17"/>
        <v>504.42750000000001</v>
      </c>
      <c r="D133" s="134"/>
      <c r="E133" s="251">
        <v>3098.25</v>
      </c>
      <c r="F133" s="251"/>
      <c r="G133" s="134">
        <v>107.67664670658684</v>
      </c>
      <c r="H133" s="249"/>
      <c r="I133" s="251">
        <v>504.42750000000001</v>
      </c>
      <c r="J133" s="251"/>
      <c r="K133" s="251">
        <v>44092.741935483871</v>
      </c>
      <c r="L133" s="251"/>
      <c r="M133" s="192" t="s">
        <v>3614</v>
      </c>
      <c r="N133" s="192" t="s">
        <v>3614</v>
      </c>
      <c r="O133" s="192" t="s">
        <v>3532</v>
      </c>
      <c r="P133" s="192" t="s">
        <v>3615</v>
      </c>
      <c r="Q133" s="133" t="s">
        <v>3616</v>
      </c>
      <c r="R133" s="318" t="s">
        <v>3742</v>
      </c>
      <c r="T133" s="133">
        <v>2000</v>
      </c>
      <c r="U133" s="133">
        <v>1605</v>
      </c>
      <c r="AA133" s="179" t="s">
        <v>4462</v>
      </c>
      <c r="AB133" t="s">
        <v>4609</v>
      </c>
      <c r="AH133" s="133" t="s">
        <v>3605</v>
      </c>
      <c r="AI133" s="192" t="s">
        <v>3161</v>
      </c>
    </row>
    <row r="134" spans="1:35">
      <c r="A134" s="566"/>
      <c r="B134" s="182"/>
      <c r="C134" s="249"/>
      <c r="D134" s="134"/>
      <c r="E134" s="251" t="e">
        <v>#N/A</v>
      </c>
      <c r="G134" s="134" t="e">
        <v>#N/A</v>
      </c>
      <c r="I134" s="251"/>
      <c r="K134" s="251" t="e">
        <v>#N/A</v>
      </c>
      <c r="M134" s="193"/>
      <c r="N134" s="193"/>
      <c r="O134" s="192"/>
      <c r="P134" s="193"/>
      <c r="R134" s="318"/>
      <c r="T134" s="133">
        <v>2550</v>
      </c>
      <c r="U134" s="133">
        <v>1605</v>
      </c>
      <c r="AA134" s="178" t="s">
        <v>4408</v>
      </c>
      <c r="AB134" t="s">
        <v>4419</v>
      </c>
      <c r="AH134" s="133" t="s">
        <v>3606</v>
      </c>
      <c r="AI134" s="192" t="s">
        <v>3164</v>
      </c>
    </row>
    <row r="135" spans="1:35">
      <c r="A135" s="566"/>
      <c r="B135" s="185" t="str">
        <f t="shared" si="15"/>
        <v xml:space="preserve">Lacobel RAL 7035 </v>
      </c>
      <c r="C135" s="170">
        <f>IF($D$1=1,E135,IF(OR($D$1=2,$D$1=5),G135,IF($D$1=3,I135,IF($D$1=4,K135,IF($D$1=6,G135*1.3,0)))))</f>
        <v>313.63200000000001</v>
      </c>
      <c r="D135" s="134"/>
      <c r="E135" s="251">
        <v>1982.8799999999997</v>
      </c>
      <c r="F135" s="251"/>
      <c r="G135" s="134">
        <v>68.913053892215572</v>
      </c>
      <c r="I135" s="251">
        <v>313.63200000000001</v>
      </c>
      <c r="J135" s="251"/>
      <c r="K135" s="251">
        <v>28219.354838709674</v>
      </c>
      <c r="L135" s="251"/>
      <c r="M135" s="193" t="s">
        <v>32</v>
      </c>
      <c r="N135" s="193" t="s">
        <v>32</v>
      </c>
      <c r="O135" s="192" t="s">
        <v>3166</v>
      </c>
      <c r="P135" s="193" t="s">
        <v>32</v>
      </c>
      <c r="Q135" s="133" t="s">
        <v>32</v>
      </c>
      <c r="R135" s="318" t="s">
        <v>32</v>
      </c>
      <c r="T135" s="133">
        <v>2550</v>
      </c>
      <c r="U135" s="133">
        <v>1605</v>
      </c>
      <c r="AA135" s="178" t="s">
        <v>4413</v>
      </c>
      <c r="AB135" t="s">
        <v>4420</v>
      </c>
      <c r="AH135" s="133" t="s">
        <v>3607</v>
      </c>
      <c r="AI135" s="192" t="s">
        <v>3165</v>
      </c>
    </row>
    <row r="136" spans="1:35">
      <c r="A136" s="566"/>
      <c r="B136" s="182"/>
      <c r="C136" s="249"/>
      <c r="D136" s="134"/>
      <c r="E136" s="251" t="e">
        <v>#N/A</v>
      </c>
      <c r="G136" s="134" t="e">
        <v>#N/A</v>
      </c>
      <c r="I136" s="251" t="e">
        <v>#N/A</v>
      </c>
      <c r="K136" s="251" t="e">
        <v>#N/A</v>
      </c>
      <c r="M136" s="193"/>
      <c r="N136" s="193"/>
      <c r="O136" s="192"/>
      <c r="P136" s="193"/>
      <c r="R136" s="318"/>
      <c r="T136" s="133">
        <v>2550</v>
      </c>
      <c r="U136" s="133">
        <v>1605</v>
      </c>
      <c r="AA136" s="178" t="s">
        <v>4461</v>
      </c>
      <c r="AB136" t="s">
        <v>4610</v>
      </c>
      <c r="AH136" s="133" t="s">
        <v>3608</v>
      </c>
      <c r="AI136" s="192" t="s">
        <v>3172</v>
      </c>
    </row>
    <row r="137" spans="1:35">
      <c r="A137" s="566"/>
      <c r="B137" s="185" t="str">
        <f t="shared" si="15"/>
        <v xml:space="preserve">Lacobel RAL 9003 </v>
      </c>
      <c r="C137" s="170">
        <f t="shared" ref="C137:C143" si="18">IF($D$1=1,E137,IF(OR($D$1=2,$D$1=5),G137,IF($D$1=3,I137,IF($D$1=4,K137,IF($D$1=6,G137*1.3,0)))))</f>
        <v>376.35839999999996</v>
      </c>
      <c r="D137" s="134"/>
      <c r="E137" s="251">
        <v>2379.4559999999997</v>
      </c>
      <c r="F137" s="251"/>
      <c r="G137" s="134">
        <v>82.695664670658687</v>
      </c>
      <c r="H137" s="134"/>
      <c r="I137" s="251">
        <v>376.35839999999996</v>
      </c>
      <c r="J137" s="251"/>
      <c r="K137" s="251">
        <v>33863.225806451606</v>
      </c>
      <c r="L137" s="251"/>
      <c r="M137" s="193" t="s">
        <v>36</v>
      </c>
      <c r="N137" s="193" t="s">
        <v>36</v>
      </c>
      <c r="O137" s="192" t="s">
        <v>3167</v>
      </c>
      <c r="P137" s="193" t="s">
        <v>36</v>
      </c>
      <c r="Q137" s="133" t="s">
        <v>36</v>
      </c>
      <c r="R137" s="318" t="s">
        <v>3730</v>
      </c>
      <c r="T137" s="133">
        <v>2550</v>
      </c>
      <c r="U137" s="133">
        <v>1605</v>
      </c>
      <c r="AA137" s="178" t="s">
        <v>4463</v>
      </c>
      <c r="AB137" t="s">
        <v>4611</v>
      </c>
      <c r="AH137" s="133" t="s">
        <v>3609</v>
      </c>
      <c r="AI137" s="192" t="s">
        <v>3173</v>
      </c>
    </row>
    <row r="138" spans="1:35">
      <c r="A138" s="566"/>
      <c r="B138" s="185" t="str">
        <f t="shared" si="15"/>
        <v xml:space="preserve">Lacobel RAL 9005 </v>
      </c>
      <c r="C138" s="170">
        <f t="shared" si="18"/>
        <v>285.40511999999995</v>
      </c>
      <c r="D138" s="134"/>
      <c r="E138" s="251">
        <v>1804.4207999999999</v>
      </c>
      <c r="F138" s="251"/>
      <c r="G138" s="134">
        <v>62.710879041916165</v>
      </c>
      <c r="H138" s="249"/>
      <c r="I138" s="251">
        <v>285.40511999999995</v>
      </c>
      <c r="J138" s="251"/>
      <c r="K138" s="251">
        <v>25679.612903225803</v>
      </c>
      <c r="L138" s="251"/>
      <c r="M138" s="193" t="s">
        <v>38</v>
      </c>
      <c r="N138" s="193" t="s">
        <v>38</v>
      </c>
      <c r="O138" s="192" t="s">
        <v>3168</v>
      </c>
      <c r="P138" s="193" t="s">
        <v>38</v>
      </c>
      <c r="Q138" s="133" t="s">
        <v>38</v>
      </c>
      <c r="R138" s="318" t="s">
        <v>38</v>
      </c>
      <c r="T138" s="133">
        <v>2550</v>
      </c>
      <c r="U138" s="133">
        <v>1605</v>
      </c>
      <c r="AA138" s="178" t="s">
        <v>4464</v>
      </c>
      <c r="AB138" t="s">
        <v>4612</v>
      </c>
      <c r="AH138" s="133" t="s">
        <v>3535</v>
      </c>
      <c r="AI138" s="192" t="s">
        <v>3174</v>
      </c>
    </row>
    <row r="139" spans="1:35">
      <c r="A139" s="566"/>
      <c r="B139" s="185" t="str">
        <f t="shared" si="15"/>
        <v xml:space="preserve">Lacobel RAL 9006 </v>
      </c>
      <c r="C139" s="170">
        <f t="shared" si="18"/>
        <v>376.35839999999996</v>
      </c>
      <c r="D139" s="134"/>
      <c r="E139" s="251">
        <v>2379.4559999999997</v>
      </c>
      <c r="F139" s="251"/>
      <c r="G139" s="134">
        <v>82.695664670658687</v>
      </c>
      <c r="H139" s="249"/>
      <c r="I139" s="251">
        <v>376.35839999999996</v>
      </c>
      <c r="J139" s="251"/>
      <c r="K139" s="251">
        <v>33863.225806451606</v>
      </c>
      <c r="L139" s="251"/>
      <c r="M139" s="193" t="s">
        <v>37</v>
      </c>
      <c r="N139" s="193" t="s">
        <v>37</v>
      </c>
      <c r="O139" s="192" t="s">
        <v>3169</v>
      </c>
      <c r="P139" s="193" t="s">
        <v>37</v>
      </c>
      <c r="Q139" s="133" t="s">
        <v>37</v>
      </c>
      <c r="R139" s="318" t="s">
        <v>37</v>
      </c>
      <c r="T139" s="133">
        <v>2550</v>
      </c>
      <c r="U139" s="133">
        <v>1605</v>
      </c>
      <c r="AA139" s="178" t="s">
        <v>4479</v>
      </c>
      <c r="AB139" t="s">
        <v>4613</v>
      </c>
      <c r="AH139" s="133" t="s">
        <v>3536</v>
      </c>
      <c r="AI139" s="192" t="s">
        <v>3175</v>
      </c>
    </row>
    <row r="140" spans="1:35">
      <c r="A140" s="566"/>
      <c r="B140" s="185" t="str">
        <f t="shared" si="15"/>
        <v xml:space="preserve">Lacobel RAL 9007 </v>
      </c>
      <c r="C140" s="170">
        <f t="shared" si="18"/>
        <v>376.35839999999996</v>
      </c>
      <c r="D140" s="134"/>
      <c r="E140" s="251">
        <v>2379.4559999999997</v>
      </c>
      <c r="F140" s="251"/>
      <c r="G140" s="134">
        <v>82.695664670658687</v>
      </c>
      <c r="H140" s="249"/>
      <c r="I140" s="251">
        <v>376.35839999999996</v>
      </c>
      <c r="J140" s="251"/>
      <c r="K140" s="251">
        <v>33863.225806451606</v>
      </c>
      <c r="L140" s="251"/>
      <c r="M140" s="193" t="s">
        <v>557</v>
      </c>
      <c r="N140" s="193" t="s">
        <v>557</v>
      </c>
      <c r="O140" s="192" t="s">
        <v>3170</v>
      </c>
      <c r="P140" s="193" t="s">
        <v>557</v>
      </c>
      <c r="Q140" s="133" t="s">
        <v>557</v>
      </c>
      <c r="R140" s="318" t="s">
        <v>557</v>
      </c>
      <c r="T140" s="133">
        <v>2550</v>
      </c>
      <c r="U140" s="133">
        <v>1605</v>
      </c>
      <c r="AA140" s="178" t="s">
        <v>4480</v>
      </c>
      <c r="AB140" t="s">
        <v>4614</v>
      </c>
      <c r="AH140" s="133" t="s">
        <v>897</v>
      </c>
      <c r="AI140" s="192" t="s">
        <v>3178</v>
      </c>
    </row>
    <row r="141" spans="1:35">
      <c r="A141" s="566"/>
      <c r="B141" s="185" t="str">
        <f t="shared" si="15"/>
        <v xml:space="preserve">Lacobel RAL 9010 </v>
      </c>
      <c r="C141" s="170">
        <f t="shared" si="18"/>
        <v>285.40511999999995</v>
      </c>
      <c r="D141" s="134"/>
      <c r="E141" s="251">
        <v>1804.4207999999999</v>
      </c>
      <c r="F141" s="251"/>
      <c r="G141" s="134">
        <v>62.710879041916165</v>
      </c>
      <c r="H141" s="249"/>
      <c r="I141" s="251">
        <v>285.40511999999995</v>
      </c>
      <c r="J141" s="251"/>
      <c r="K141" s="251">
        <v>25679.612903225803</v>
      </c>
      <c r="L141" s="251"/>
      <c r="M141" s="193" t="s">
        <v>30</v>
      </c>
      <c r="N141" s="193" t="s">
        <v>30</v>
      </c>
      <c r="O141" s="192" t="s">
        <v>3171</v>
      </c>
      <c r="P141" s="193" t="s">
        <v>30</v>
      </c>
      <c r="Q141" s="133" t="s">
        <v>30</v>
      </c>
      <c r="R141" s="318" t="s">
        <v>30</v>
      </c>
      <c r="T141" s="133">
        <v>2550</v>
      </c>
      <c r="U141" s="133">
        <v>1605</v>
      </c>
      <c r="AA141" s="185" t="s">
        <v>3315</v>
      </c>
      <c r="AB141" t="s">
        <v>4615</v>
      </c>
      <c r="AH141" s="133" t="s">
        <v>898</v>
      </c>
      <c r="AI141" s="192" t="s">
        <v>3180</v>
      </c>
    </row>
    <row r="142" spans="1:35">
      <c r="A142" s="566"/>
      <c r="B142" s="185" t="str">
        <f t="shared" si="15"/>
        <v xml:space="preserve">Moru brąz pionowo </v>
      </c>
      <c r="C142" s="170">
        <f t="shared" si="18"/>
        <v>490.05</v>
      </c>
      <c r="D142" s="134"/>
      <c r="E142" s="251">
        <v>3098.25</v>
      </c>
      <c r="F142" s="251"/>
      <c r="G142" s="134">
        <v>107.67664670658684</v>
      </c>
      <c r="H142" s="249"/>
      <c r="I142" s="251">
        <v>490.05</v>
      </c>
      <c r="J142" s="251"/>
      <c r="K142" s="251">
        <v>44092.741935483871</v>
      </c>
      <c r="L142" s="251"/>
      <c r="M142" s="193" t="s">
        <v>3551</v>
      </c>
      <c r="N142" s="193" t="s">
        <v>3579</v>
      </c>
      <c r="O142" s="192" t="s">
        <v>3172</v>
      </c>
      <c r="P142" s="193" t="s">
        <v>3598</v>
      </c>
      <c r="Q142" s="133" t="s">
        <v>3608</v>
      </c>
      <c r="R142" s="318" t="s">
        <v>3743</v>
      </c>
      <c r="T142" s="133">
        <v>2440</v>
      </c>
      <c r="U142" s="133">
        <v>2100</v>
      </c>
      <c r="AA142" s="185" t="s">
        <v>3316</v>
      </c>
      <c r="AB142" t="s">
        <v>4616</v>
      </c>
      <c r="AH142" s="133" t="s">
        <v>3610</v>
      </c>
      <c r="AI142" s="192" t="s">
        <v>3181</v>
      </c>
    </row>
    <row r="143" spans="1:35">
      <c r="A143" s="566"/>
      <c r="B143" s="185" t="str">
        <f t="shared" si="15"/>
        <v xml:space="preserve">Moru grafit pionowo </v>
      </c>
      <c r="C143" s="170">
        <f t="shared" si="18"/>
        <v>490.05</v>
      </c>
      <c r="D143" s="134"/>
      <c r="E143" s="251">
        <v>3098.25</v>
      </c>
      <c r="F143" s="251"/>
      <c r="G143" s="134">
        <v>107.67664670658684</v>
      </c>
      <c r="H143" s="249"/>
      <c r="I143" s="251">
        <v>490.05</v>
      </c>
      <c r="J143" s="251"/>
      <c r="K143" s="251">
        <v>44092.741935483871</v>
      </c>
      <c r="L143" s="251"/>
      <c r="M143" s="193" t="s">
        <v>3552</v>
      </c>
      <c r="N143" s="193" t="s">
        <v>3580</v>
      </c>
      <c r="O143" s="192" t="s">
        <v>3173</v>
      </c>
      <c r="P143" s="193" t="s">
        <v>3533</v>
      </c>
      <c r="Q143" s="133" t="s">
        <v>3534</v>
      </c>
      <c r="R143" s="318" t="s">
        <v>3609</v>
      </c>
      <c r="T143" s="133">
        <v>2440</v>
      </c>
      <c r="U143" s="133">
        <v>2100</v>
      </c>
      <c r="AA143" s="185" t="s">
        <v>3317</v>
      </c>
      <c r="AB143" t="s">
        <v>4617</v>
      </c>
      <c r="AH143" s="192" t="s">
        <v>3525</v>
      </c>
      <c r="AI143" s="133" t="s">
        <v>3490</v>
      </c>
    </row>
    <row r="144" spans="1:35">
      <c r="A144" s="566"/>
      <c r="B144" s="182"/>
      <c r="C144" s="249"/>
      <c r="D144" s="134"/>
      <c r="E144" s="251"/>
      <c r="G144" s="134"/>
      <c r="I144" s="251"/>
      <c r="K144" s="251"/>
      <c r="M144" s="193" t="s">
        <v>33</v>
      </c>
      <c r="N144" s="193" t="s">
        <v>33</v>
      </c>
      <c r="O144" s="192" t="s">
        <v>33</v>
      </c>
      <c r="P144" s="193" t="s">
        <v>33</v>
      </c>
      <c r="Q144" s="133" t="s">
        <v>33</v>
      </c>
      <c r="R144" s="318" t="s">
        <v>33</v>
      </c>
      <c r="AA144" s="185" t="s">
        <v>3318</v>
      </c>
      <c r="AB144" t="s">
        <v>4618</v>
      </c>
      <c r="AH144" s="192" t="s">
        <v>3611</v>
      </c>
      <c r="AI144" s="133" t="s">
        <v>3490</v>
      </c>
    </row>
    <row r="145" spans="1:35">
      <c r="A145" s="566"/>
      <c r="B145" s="182"/>
      <c r="C145" s="249"/>
      <c r="D145" s="134"/>
      <c r="E145" s="251"/>
      <c r="G145" s="134"/>
      <c r="I145" s="251"/>
      <c r="K145" s="251"/>
      <c r="M145" s="193" t="s">
        <v>34</v>
      </c>
      <c r="N145" s="193" t="s">
        <v>34</v>
      </c>
      <c r="O145" s="192" t="s">
        <v>34</v>
      </c>
      <c r="P145" s="193" t="s">
        <v>34</v>
      </c>
      <c r="Q145" s="133" t="s">
        <v>34</v>
      </c>
      <c r="R145" s="318" t="s">
        <v>34</v>
      </c>
      <c r="AA145" s="185" t="s">
        <v>3319</v>
      </c>
      <c r="AB145" t="s">
        <v>4619</v>
      </c>
      <c r="AH145" s="192" t="s">
        <v>3490</v>
      </c>
      <c r="AI145" s="133" t="s">
        <v>3490</v>
      </c>
    </row>
    <row r="146" spans="1:35">
      <c r="A146" s="566"/>
      <c r="B146" s="185" t="str">
        <f t="shared" ref="B146:B147" si="19">IF($D$1=1,M146,
IF($D$1=2,N146,
IF($D$1=3,O146,
IF($D$1=4,P146,
IF($D$1=5,Q146,
IF($D$1=6,R146,0))))))</f>
        <v xml:space="preserve">Moru brąz poziomo </v>
      </c>
      <c r="C146" s="170">
        <f>IF($D$1=1,E146,IF(OR($D$1=2,$D$1=5),G146,IF($D$1=3,I146,IF($D$1=4,K146,IF($D$1=6,G146*1.3,0)))))</f>
        <v>490.05</v>
      </c>
      <c r="D146" s="134"/>
      <c r="E146" s="251">
        <v>3098.25</v>
      </c>
      <c r="F146" s="251"/>
      <c r="G146" s="134">
        <v>107.67664670658684</v>
      </c>
      <c r="H146" s="249"/>
      <c r="I146" s="251">
        <v>490.05</v>
      </c>
      <c r="J146" s="251"/>
      <c r="K146" s="251">
        <v>44092.741935483871</v>
      </c>
      <c r="L146" s="251"/>
      <c r="M146" s="193" t="s">
        <v>3553</v>
      </c>
      <c r="N146" s="193" t="s">
        <v>3527</v>
      </c>
      <c r="O146" s="192" t="s">
        <v>3174</v>
      </c>
      <c r="P146" s="193" t="s">
        <v>3599</v>
      </c>
      <c r="Q146" s="133" t="s">
        <v>3535</v>
      </c>
      <c r="R146" s="318" t="s">
        <v>3744</v>
      </c>
      <c r="T146" s="133">
        <v>2440</v>
      </c>
      <c r="U146" s="133">
        <v>2100</v>
      </c>
      <c r="AA146" s="185" t="s">
        <v>3320</v>
      </c>
      <c r="AB146" t="s">
        <v>4620</v>
      </c>
      <c r="AH146" s="192" t="s">
        <v>3612</v>
      </c>
      <c r="AI146" s="133" t="s">
        <v>3490</v>
      </c>
    </row>
    <row r="147" spans="1:35">
      <c r="A147" s="566"/>
      <c r="B147" s="185" t="str">
        <f t="shared" si="19"/>
        <v xml:space="preserve">Moru grafit poziomo </v>
      </c>
      <c r="C147" s="170">
        <f>IF($D$1=1,E147,IF(OR($D$1=2,$D$1=5),G147,IF($D$1=3,I147,IF($D$1=4,K147,IF($D$1=6,G147*1.3,0)))))</f>
        <v>490.05</v>
      </c>
      <c r="D147" s="134"/>
      <c r="E147" s="251">
        <v>3098.25</v>
      </c>
      <c r="F147" s="251"/>
      <c r="G147" s="134">
        <v>107.67664670658684</v>
      </c>
      <c r="H147" s="249"/>
      <c r="I147" s="251">
        <v>490.05</v>
      </c>
      <c r="J147" s="251"/>
      <c r="K147" s="251">
        <v>44092.741935483871</v>
      </c>
      <c r="L147" s="251"/>
      <c r="M147" s="193" t="s">
        <v>3554</v>
      </c>
      <c r="N147" s="193" t="s">
        <v>3528</v>
      </c>
      <c r="O147" s="192" t="s">
        <v>3175</v>
      </c>
      <c r="P147" s="193" t="s">
        <v>3600</v>
      </c>
      <c r="Q147" s="133" t="s">
        <v>3536</v>
      </c>
      <c r="R147" s="318" t="s">
        <v>3536</v>
      </c>
      <c r="T147" s="133">
        <v>2440</v>
      </c>
      <c r="U147" s="133">
        <v>2100</v>
      </c>
      <c r="AA147" s="181" t="s">
        <v>2387</v>
      </c>
      <c r="AB147" s="185" t="s">
        <v>3053</v>
      </c>
      <c r="AH147" s="133" t="s">
        <v>3613</v>
      </c>
      <c r="AI147" s="133" t="s">
        <v>3490</v>
      </c>
    </row>
    <row r="148" spans="1:35">
      <c r="A148" s="566"/>
      <c r="B148" s="182"/>
      <c r="C148" s="249"/>
      <c r="D148" s="134"/>
      <c r="E148" s="251" t="e">
        <v>#N/A</v>
      </c>
      <c r="G148" s="134" t="e">
        <v>#N/A</v>
      </c>
      <c r="I148" s="251" t="e">
        <v>#N/A</v>
      </c>
      <c r="K148" s="251" t="e">
        <v>#N/A</v>
      </c>
      <c r="M148" s="193" t="s">
        <v>31</v>
      </c>
      <c r="N148" s="193" t="s">
        <v>31</v>
      </c>
      <c r="O148" s="192" t="s">
        <v>31</v>
      </c>
      <c r="P148" s="193" t="s">
        <v>31</v>
      </c>
      <c r="Q148" s="133" t="s">
        <v>31</v>
      </c>
      <c r="R148" s="318" t="s">
        <v>31</v>
      </c>
      <c r="AA148" s="181" t="s">
        <v>1231</v>
      </c>
      <c r="AB148" s="185" t="s">
        <v>3054</v>
      </c>
      <c r="AH148" s="192" t="s">
        <v>3614</v>
      </c>
      <c r="AI148" s="133" t="s">
        <v>3491</v>
      </c>
    </row>
    <row r="149" spans="1:35">
      <c r="A149" s="566"/>
      <c r="B149" s="182"/>
      <c r="C149" s="249"/>
      <c r="D149" s="134"/>
      <c r="E149" s="251" t="e">
        <v>#N/A</v>
      </c>
      <c r="G149" s="134" t="e">
        <v>#N/A</v>
      </c>
      <c r="I149" s="251" t="e">
        <v>#N/A</v>
      </c>
      <c r="K149" s="251" t="e">
        <v>#N/A</v>
      </c>
      <c r="M149" s="193" t="s">
        <v>3617</v>
      </c>
      <c r="N149" s="193"/>
      <c r="O149" s="192"/>
      <c r="P149" s="193"/>
      <c r="R149" s="318"/>
      <c r="T149" s="133">
        <v>2550</v>
      </c>
      <c r="U149" s="133">
        <v>1605</v>
      </c>
      <c r="AA149" s="181" t="s">
        <v>2388</v>
      </c>
      <c r="AB149" s="185" t="s">
        <v>3055</v>
      </c>
      <c r="AH149" s="192" t="s">
        <v>3491</v>
      </c>
      <c r="AI149" s="133" t="s">
        <v>3491</v>
      </c>
    </row>
    <row r="150" spans="1:35">
      <c r="A150" s="566"/>
      <c r="B150" s="182"/>
      <c r="C150" s="249"/>
      <c r="D150" s="134"/>
      <c r="E150" s="251" t="e">
        <v>#N/A</v>
      </c>
      <c r="G150" s="134" t="e">
        <v>#N/A</v>
      </c>
      <c r="I150" s="251" t="e">
        <v>#N/A</v>
      </c>
      <c r="K150" s="251" t="e">
        <v>#N/A</v>
      </c>
      <c r="M150" s="193" t="s">
        <v>39</v>
      </c>
      <c r="N150" s="193" t="s">
        <v>39</v>
      </c>
      <c r="O150" s="192" t="s">
        <v>39</v>
      </c>
      <c r="P150" s="193" t="s">
        <v>39</v>
      </c>
      <c r="Q150" s="133" t="s">
        <v>39</v>
      </c>
      <c r="R150" s="318" t="s">
        <v>39</v>
      </c>
      <c r="AA150" s="181" t="s">
        <v>2389</v>
      </c>
      <c r="AB150" s="185" t="s">
        <v>2392</v>
      </c>
      <c r="AH150" s="192" t="s">
        <v>3615</v>
      </c>
      <c r="AI150" s="133" t="s">
        <v>3491</v>
      </c>
    </row>
    <row r="151" spans="1:35">
      <c r="A151" s="566"/>
      <c r="B151" s="182"/>
      <c r="C151" s="249"/>
      <c r="D151" s="134"/>
      <c r="E151" s="251" t="e">
        <v>#N/A</v>
      </c>
      <c r="G151" s="134" t="e">
        <v>#N/A</v>
      </c>
      <c r="I151" s="251" t="e">
        <v>#N/A</v>
      </c>
      <c r="K151" s="251" t="e">
        <v>#N/A</v>
      </c>
      <c r="M151" s="193"/>
      <c r="N151" s="193"/>
      <c r="O151" s="192"/>
      <c r="P151" s="193"/>
      <c r="R151" s="318"/>
      <c r="T151" s="133">
        <v>2550</v>
      </c>
      <c r="U151" s="133">
        <v>1605</v>
      </c>
      <c r="AA151" s="181" t="s">
        <v>1234</v>
      </c>
      <c r="AB151" s="185" t="s">
        <v>1235</v>
      </c>
      <c r="AH151" s="133" t="s">
        <v>3616</v>
      </c>
      <c r="AI151" s="133" t="s">
        <v>3491</v>
      </c>
    </row>
    <row r="152" spans="1:35">
      <c r="A152" s="566"/>
      <c r="B152" s="182"/>
      <c r="C152" s="249"/>
      <c r="D152" s="134"/>
      <c r="E152" s="251" t="e">
        <v>#N/A</v>
      </c>
      <c r="G152" s="134" t="e">
        <v>#N/A</v>
      </c>
      <c r="I152" s="251" t="e">
        <v>#N/A</v>
      </c>
      <c r="K152" s="251" t="e">
        <v>#N/A</v>
      </c>
      <c r="M152" s="193"/>
      <c r="N152" s="193"/>
      <c r="O152" s="192"/>
      <c r="P152" s="193"/>
      <c r="R152" s="318"/>
      <c r="T152" s="133">
        <v>2550</v>
      </c>
      <c r="U152" s="133">
        <v>1605</v>
      </c>
      <c r="AA152" s="181" t="s">
        <v>1421</v>
      </c>
      <c r="AB152" s="185" t="s">
        <v>1422</v>
      </c>
      <c r="AH152" s="185" t="s">
        <v>3013</v>
      </c>
      <c r="AI152" s="205" t="s">
        <v>3016</v>
      </c>
    </row>
    <row r="153" spans="1:35">
      <c r="A153" s="566"/>
      <c r="B153" s="182"/>
      <c r="C153" s="249"/>
      <c r="D153" s="134"/>
      <c r="E153" s="251" t="e">
        <v>#N/A</v>
      </c>
      <c r="G153" s="134" t="e">
        <v>#N/A</v>
      </c>
      <c r="I153" s="251" t="e">
        <v>#N/A</v>
      </c>
      <c r="K153" s="251" t="e">
        <v>#N/A</v>
      </c>
      <c r="M153" s="193"/>
      <c r="N153" s="193"/>
      <c r="O153" s="192"/>
      <c r="P153" s="193"/>
      <c r="R153" s="318"/>
      <c r="T153" s="133">
        <v>2550</v>
      </c>
      <c r="U153" s="133">
        <v>1605</v>
      </c>
      <c r="AA153" s="178" t="s">
        <v>3328</v>
      </c>
      <c r="AB153" t="s">
        <v>554</v>
      </c>
      <c r="AH153" s="185" t="s">
        <v>2566</v>
      </c>
      <c r="AI153" s="205" t="s">
        <v>2565</v>
      </c>
    </row>
    <row r="154" spans="1:35">
      <c r="A154" s="566"/>
      <c r="B154" s="182"/>
      <c r="C154" s="249"/>
      <c r="D154" s="134"/>
      <c r="E154" s="251" t="e">
        <v>#N/A</v>
      </c>
      <c r="G154" s="134" t="e">
        <v>#N/A</v>
      </c>
      <c r="I154" s="251" t="e">
        <v>#N/A</v>
      </c>
      <c r="K154" s="251" t="e">
        <v>#N/A</v>
      </c>
      <c r="M154" s="193"/>
      <c r="N154" s="193"/>
      <c r="O154" s="192"/>
      <c r="P154" s="193"/>
      <c r="R154" s="318"/>
      <c r="T154" s="133">
        <v>2550</v>
      </c>
      <c r="U154" s="133">
        <v>1605</v>
      </c>
      <c r="AA154" s="178" t="s">
        <v>3329</v>
      </c>
      <c r="AB154" t="s">
        <v>4446</v>
      </c>
      <c r="AH154" s="185" t="s">
        <v>3018</v>
      </c>
      <c r="AI154" s="205" t="s">
        <v>3022</v>
      </c>
    </row>
    <row r="155" spans="1:35">
      <c r="A155" s="566"/>
      <c r="B155" s="182"/>
      <c r="C155" s="249"/>
      <c r="D155" s="134"/>
      <c r="E155" s="251" t="e">
        <v>#N/A</v>
      </c>
      <c r="G155" s="134" t="e">
        <v>#N/A</v>
      </c>
      <c r="I155" s="251" t="e">
        <v>#N/A</v>
      </c>
      <c r="K155" s="251" t="e">
        <v>#N/A</v>
      </c>
      <c r="M155" s="193"/>
      <c r="N155" s="193"/>
      <c r="O155" s="192"/>
      <c r="P155" s="193"/>
      <c r="R155" s="318"/>
      <c r="T155" s="133">
        <v>2550</v>
      </c>
      <c r="U155" s="133">
        <v>1605</v>
      </c>
      <c r="AA155" s="178" t="s">
        <v>3330</v>
      </c>
      <c r="AB155" t="s">
        <v>4447</v>
      </c>
      <c r="AH155" s="185" t="s">
        <v>3019</v>
      </c>
      <c r="AI155" s="205" t="s">
        <v>3023</v>
      </c>
    </row>
    <row r="156" spans="1:35">
      <c r="A156" s="566"/>
      <c r="B156" s="185" t="str">
        <f t="shared" ref="B156:B157" si="20">IF($D$1=1,M156,
IF($D$1=2,N156,
IF($D$1=3,O156,
IF($D$1=4,P156,
IF($D$1=5,Q156,
IF($D$1=6,R156,0))))))</f>
        <v xml:space="preserve">Matelac RAL 9003 </v>
      </c>
      <c r="C156" s="170">
        <f>IF($D$1=1,E156,IF(OR($D$1=2,$D$1=5),G156,IF($D$1=3,I156,IF($D$1=4,K156,IF($D$1=6,G156*1.3,0)))))</f>
        <v>594.59400000000005</v>
      </c>
      <c r="D156" s="134"/>
      <c r="E156" s="251">
        <v>3759.21</v>
      </c>
      <c r="F156" s="251"/>
      <c r="G156" s="134">
        <v>130.64766467065868</v>
      </c>
      <c r="H156" s="249"/>
      <c r="I156" s="251">
        <v>594.59400000000005</v>
      </c>
      <c r="J156" s="251"/>
      <c r="K156" s="251">
        <v>53499.193548387106</v>
      </c>
      <c r="L156" s="251"/>
      <c r="M156" s="193" t="s">
        <v>40</v>
      </c>
      <c r="N156" s="193" t="s">
        <v>40</v>
      </c>
      <c r="O156" s="192" t="s">
        <v>3176</v>
      </c>
      <c r="P156" s="193" t="s">
        <v>3176</v>
      </c>
      <c r="Q156" s="133" t="s">
        <v>3176</v>
      </c>
      <c r="R156" s="318" t="s">
        <v>40</v>
      </c>
      <c r="T156" s="133">
        <v>2550</v>
      </c>
      <c r="U156" s="133">
        <v>1605</v>
      </c>
      <c r="AA156" s="178" t="s">
        <v>3364</v>
      </c>
      <c r="AB156" t="s">
        <v>4568</v>
      </c>
      <c r="AH156" s="206" t="s">
        <v>3015</v>
      </c>
      <c r="AI156" s="205" t="s">
        <v>3016</v>
      </c>
    </row>
    <row r="157" spans="1:35">
      <c r="A157" s="566"/>
      <c r="B157" s="185" t="str">
        <f t="shared" si="20"/>
        <v xml:space="preserve">Matelac RAL 9005 </v>
      </c>
      <c r="C157" s="170">
        <f>IF($D$1=1,E157,IF(OR($D$1=2,$D$1=5),G157,IF($D$1=3,I157,IF($D$1=4,K157,IF($D$1=6,G157*1.3,0)))))</f>
        <v>475.67520000000002</v>
      </c>
      <c r="D157" s="134"/>
      <c r="E157" s="251">
        <v>3007.3679999999999</v>
      </c>
      <c r="F157" s="251"/>
      <c r="G157" s="134">
        <v>104.51813173652697</v>
      </c>
      <c r="H157" s="249"/>
      <c r="I157" s="251">
        <v>475.67520000000002</v>
      </c>
      <c r="J157" s="251"/>
      <c r="K157" s="251">
        <v>42799.354838709682</v>
      </c>
      <c r="L157" s="251"/>
      <c r="M157" s="193" t="s">
        <v>41</v>
      </c>
      <c r="N157" s="193" t="s">
        <v>41</v>
      </c>
      <c r="O157" s="192" t="s">
        <v>3177</v>
      </c>
      <c r="P157" s="193" t="s">
        <v>3177</v>
      </c>
      <c r="Q157" s="133" t="s">
        <v>3177</v>
      </c>
      <c r="R157" s="318" t="s">
        <v>41</v>
      </c>
      <c r="T157" s="133">
        <v>2550</v>
      </c>
      <c r="U157" s="133">
        <v>1605</v>
      </c>
      <c r="AA157" s="178" t="s">
        <v>3331</v>
      </c>
      <c r="AB157" t="s">
        <v>4448</v>
      </c>
      <c r="AH157" s="206" t="s">
        <v>3014</v>
      </c>
      <c r="AI157" s="205" t="s">
        <v>2565</v>
      </c>
    </row>
    <row r="158" spans="1:35">
      <c r="A158" s="566"/>
      <c r="B158" s="182"/>
      <c r="C158" s="249"/>
      <c r="D158" s="134"/>
      <c r="E158" s="251" t="e">
        <v>#N/A</v>
      </c>
      <c r="G158" s="134" t="e">
        <v>#N/A</v>
      </c>
      <c r="I158" s="251" t="e">
        <v>#N/A</v>
      </c>
      <c r="K158" s="251" t="e">
        <v>#N/A</v>
      </c>
      <c r="M158" s="193"/>
      <c r="N158" s="193"/>
      <c r="O158" s="192"/>
      <c r="P158" s="193"/>
      <c r="R158" s="318"/>
      <c r="T158" s="133">
        <v>2550</v>
      </c>
      <c r="U158" s="133">
        <v>1605</v>
      </c>
      <c r="AA158" s="178" t="s">
        <v>3332</v>
      </c>
      <c r="AB158" t="s">
        <v>4449</v>
      </c>
      <c r="AH158" s="206" t="s">
        <v>3021</v>
      </c>
      <c r="AI158" s="205" t="s">
        <v>3022</v>
      </c>
    </row>
    <row r="159" spans="1:35">
      <c r="A159" s="566"/>
      <c r="B159" s="182"/>
      <c r="C159" s="249"/>
      <c r="D159" s="134"/>
      <c r="E159" s="251" t="e">
        <v>#N/A</v>
      </c>
      <c r="G159" s="134" t="e">
        <v>#N/A</v>
      </c>
      <c r="I159" s="251" t="e">
        <v>#N/A</v>
      </c>
      <c r="K159" s="251" t="e">
        <v>#N/A</v>
      </c>
      <c r="M159" s="193"/>
      <c r="N159" s="193"/>
      <c r="O159" s="192"/>
      <c r="P159" s="193"/>
      <c r="R159" s="318"/>
      <c r="T159" s="133">
        <v>2550</v>
      </c>
      <c r="U159" s="133">
        <v>1605</v>
      </c>
      <c r="AA159" s="178" t="s">
        <v>3333</v>
      </c>
      <c r="AB159" t="s">
        <v>4450</v>
      </c>
      <c r="AH159" s="206" t="s">
        <v>3020</v>
      </c>
      <c r="AI159" s="205" t="s">
        <v>3023</v>
      </c>
    </row>
    <row r="160" spans="1:35">
      <c r="A160" s="566"/>
      <c r="B160" s="182"/>
      <c r="C160" s="249"/>
      <c r="D160" s="134"/>
      <c r="E160" s="251" t="e">
        <v>#N/A</v>
      </c>
      <c r="G160" s="134" t="e">
        <v>#N/A</v>
      </c>
      <c r="I160" s="251" t="e">
        <v>#N/A</v>
      </c>
      <c r="K160" s="251" t="e">
        <v>#N/A</v>
      </c>
      <c r="M160" s="193"/>
      <c r="N160" s="193"/>
      <c r="O160" s="192"/>
      <c r="P160" s="193"/>
      <c r="R160" s="318"/>
      <c r="T160" s="133">
        <v>2550</v>
      </c>
      <c r="U160" s="133">
        <v>1605</v>
      </c>
      <c r="AA160" s="179" t="s">
        <v>3464</v>
      </c>
      <c r="AB160" t="s">
        <v>1603</v>
      </c>
      <c r="AH160" s="34" t="s">
        <v>3017</v>
      </c>
      <c r="AI160" s="205" t="s">
        <v>3016</v>
      </c>
    </row>
    <row r="161" spans="1:35">
      <c r="A161" s="566"/>
      <c r="B161" s="182"/>
      <c r="C161" s="249"/>
      <c r="D161" s="134"/>
      <c r="E161" s="251" t="e">
        <v>#N/A</v>
      </c>
      <c r="G161" s="134" t="e">
        <v>#N/A</v>
      </c>
      <c r="I161" s="251" t="e">
        <v>#N/A</v>
      </c>
      <c r="K161" s="251" t="e">
        <v>#N/A</v>
      </c>
      <c r="M161" s="193"/>
      <c r="N161" s="193"/>
      <c r="O161" s="192"/>
      <c r="P161" s="193"/>
      <c r="R161" s="318"/>
      <c r="T161" s="133">
        <v>2550</v>
      </c>
      <c r="U161" s="133">
        <v>1605</v>
      </c>
      <c r="AA161" s="178" t="s">
        <v>3334</v>
      </c>
      <c r="AB161" t="s">
        <v>4451</v>
      </c>
      <c r="AH161" s="34" t="s">
        <v>3025</v>
      </c>
      <c r="AI161" s="205" t="s">
        <v>2565</v>
      </c>
    </row>
    <row r="162" spans="1:35">
      <c r="A162" s="566"/>
      <c r="B162" s="185" t="str">
        <f t="shared" ref="B162:B169" si="21">IF($D$1=1,M162,
IF($D$1=2,N162,
IF($D$1=3,O162,
IF($D$1=4,P162,
IF($D$1=5,Q162,
IF($D$1=6,R162,0))))))</f>
        <v>Matelac lustro bronz</v>
      </c>
      <c r="C162" s="170">
        <f t="shared" ref="C162:C169" si="22">IF($D$1=1,E162,IF(OR($D$1=2,$D$1=5),G162,IF($D$1=3,I162,IF($D$1=4,K162,IF($D$1=6,G162*1.3,0)))))</f>
        <v>499.45895999999993</v>
      </c>
      <c r="D162" s="134"/>
      <c r="E162" s="251">
        <v>3157.7363999999998</v>
      </c>
      <c r="F162" s="251"/>
      <c r="G162" s="134">
        <v>109.74403832335331</v>
      </c>
      <c r="H162" s="249"/>
      <c r="I162" s="251">
        <v>499.45895999999993</v>
      </c>
      <c r="J162" s="251"/>
      <c r="K162" s="251">
        <v>44939.322580645159</v>
      </c>
      <c r="L162" s="251"/>
      <c r="M162" s="193" t="s">
        <v>46</v>
      </c>
      <c r="N162" s="193" t="s">
        <v>269</v>
      </c>
      <c r="O162" s="192" t="s">
        <v>267</v>
      </c>
      <c r="P162" s="193" t="s">
        <v>329</v>
      </c>
      <c r="Q162" s="133" t="s">
        <v>897</v>
      </c>
      <c r="R162" s="318" t="s">
        <v>3745</v>
      </c>
      <c r="T162" s="133">
        <v>2550</v>
      </c>
      <c r="U162" s="133">
        <v>1605</v>
      </c>
      <c r="AA162" s="178" t="s">
        <v>4436</v>
      </c>
      <c r="AB162" t="s">
        <v>4569</v>
      </c>
      <c r="AH162" s="34" t="s">
        <v>3026</v>
      </c>
      <c r="AI162" s="205" t="s">
        <v>3022</v>
      </c>
    </row>
    <row r="163" spans="1:35">
      <c r="A163" s="566"/>
      <c r="B163" s="185" t="str">
        <f t="shared" si="21"/>
        <v>Optiwhite</v>
      </c>
      <c r="C163" s="170">
        <f t="shared" si="22"/>
        <v>219.54239999999999</v>
      </c>
      <c r="D163" s="134"/>
      <c r="E163" s="251">
        <v>1388.0159999999998</v>
      </c>
      <c r="F163" s="251"/>
      <c r="G163" s="134">
        <v>48.239137724550893</v>
      </c>
      <c r="H163" s="249"/>
      <c r="I163" s="251">
        <v>219.54239999999999</v>
      </c>
      <c r="J163" s="251"/>
      <c r="K163" s="251">
        <v>19753.548387096773</v>
      </c>
      <c r="L163" s="251"/>
      <c r="M163" s="194" t="s">
        <v>3555</v>
      </c>
      <c r="N163" s="194" t="s">
        <v>3555</v>
      </c>
      <c r="O163" s="194" t="s">
        <v>3555</v>
      </c>
      <c r="P163" s="194" t="s">
        <v>3555</v>
      </c>
      <c r="Q163" s="194" t="s">
        <v>3555</v>
      </c>
      <c r="R163" s="318" t="s">
        <v>3555</v>
      </c>
      <c r="T163" s="133">
        <v>2550</v>
      </c>
      <c r="U163" s="133">
        <v>1605</v>
      </c>
      <c r="AA163" s="178" t="s">
        <v>4429</v>
      </c>
      <c r="AB163" t="s">
        <v>4443</v>
      </c>
      <c r="AH163" s="34" t="s">
        <v>3024</v>
      </c>
      <c r="AI163" s="205" t="s">
        <v>3023</v>
      </c>
    </row>
    <row r="164" spans="1:35">
      <c r="A164" s="566"/>
      <c r="B164" s="185" t="str">
        <f t="shared" si="21"/>
        <v>Matelac lustro grafit</v>
      </c>
      <c r="C164" s="170">
        <f t="shared" si="22"/>
        <v>499.45895999999993</v>
      </c>
      <c r="D164" s="134"/>
      <c r="E164" s="251">
        <v>3157.7363999999998</v>
      </c>
      <c r="F164" s="251"/>
      <c r="G164" s="134">
        <v>109.74403832335331</v>
      </c>
      <c r="H164" s="249"/>
      <c r="I164" s="251">
        <v>499.45895999999993</v>
      </c>
      <c r="J164" s="251"/>
      <c r="K164" s="251">
        <v>44939.322580645159</v>
      </c>
      <c r="L164" s="251"/>
      <c r="M164" s="193" t="s">
        <v>48</v>
      </c>
      <c r="N164" s="193" t="s">
        <v>270</v>
      </c>
      <c r="O164" s="192" t="s">
        <v>268</v>
      </c>
      <c r="P164" s="193" t="s">
        <v>330</v>
      </c>
      <c r="Q164" s="133" t="s">
        <v>898</v>
      </c>
      <c r="R164" s="318" t="s">
        <v>3746</v>
      </c>
      <c r="T164" s="133">
        <v>2550</v>
      </c>
      <c r="U164" s="133">
        <v>1605</v>
      </c>
      <c r="AA164" s="178" t="s">
        <v>3368</v>
      </c>
      <c r="AB164" t="s">
        <v>555</v>
      </c>
      <c r="AH164" s="205" t="s">
        <v>3030</v>
      </c>
      <c r="AI164" s="205" t="s">
        <v>3016</v>
      </c>
    </row>
    <row r="165" spans="1:35">
      <c r="A165" s="566"/>
      <c r="B165" s="185" t="str">
        <f t="shared" si="21"/>
        <v>Matelac lustro srebrny</v>
      </c>
      <c r="C165" s="170">
        <f t="shared" si="22"/>
        <v>594.59400000000005</v>
      </c>
      <c r="D165" s="134"/>
      <c r="E165" s="251">
        <v>3759.21</v>
      </c>
      <c r="F165" s="251"/>
      <c r="G165" s="134">
        <v>130.64766467065868</v>
      </c>
      <c r="H165" s="249"/>
      <c r="I165" s="251">
        <v>594.59400000000005</v>
      </c>
      <c r="J165" s="251"/>
      <c r="K165" s="251">
        <v>53499.193548387106</v>
      </c>
      <c r="L165" s="251"/>
      <c r="M165" s="193" t="s">
        <v>47</v>
      </c>
      <c r="N165" s="193" t="s">
        <v>870</v>
      </c>
      <c r="O165" s="192" t="s">
        <v>871</v>
      </c>
      <c r="P165" s="193" t="s">
        <v>872</v>
      </c>
      <c r="Q165" s="133" t="s">
        <v>3610</v>
      </c>
      <c r="R165" s="318" t="s">
        <v>3747</v>
      </c>
      <c r="T165" s="133">
        <v>2550</v>
      </c>
      <c r="U165" s="133">
        <v>1605</v>
      </c>
      <c r="AA165" s="178" t="s">
        <v>3372</v>
      </c>
      <c r="AB165" t="s">
        <v>4570</v>
      </c>
      <c r="AH165" s="205" t="s">
        <v>3027</v>
      </c>
      <c r="AI165" s="205" t="s">
        <v>2565</v>
      </c>
    </row>
    <row r="166" spans="1:35">
      <c r="A166" s="221"/>
      <c r="B166" s="185" t="str">
        <f t="shared" si="21"/>
        <v>siatka alu złota - oko 10x6x1 mm</v>
      </c>
      <c r="C166" s="170">
        <f t="shared" si="22"/>
        <v>1959.5520000000001</v>
      </c>
      <c r="D166" s="134"/>
      <c r="E166" s="264">
        <v>12524.803200000002</v>
      </c>
      <c r="F166" s="264"/>
      <c r="G166" s="265">
        <v>433.20431654676258</v>
      </c>
      <c r="H166" s="265"/>
      <c r="I166" s="264">
        <v>1959.5520000000001</v>
      </c>
      <c r="J166" s="264"/>
      <c r="K166" s="264">
        <v>177867.02769230737</v>
      </c>
      <c r="L166" s="264"/>
      <c r="M166" s="185" t="s">
        <v>3013</v>
      </c>
      <c r="N166" s="206" t="s">
        <v>3015</v>
      </c>
      <c r="O166" s="205" t="s">
        <v>3016</v>
      </c>
      <c r="P166" s="34" t="s">
        <v>3017</v>
      </c>
      <c r="Q166" s="205" t="s">
        <v>3030</v>
      </c>
      <c r="R166" s="318" t="s">
        <v>3748</v>
      </c>
      <c r="T166" s="133">
        <v>1000</v>
      </c>
      <c r="U166" s="133">
        <v>500</v>
      </c>
      <c r="AA166" s="178" t="s">
        <v>3376</v>
      </c>
      <c r="AB166" t="s">
        <v>4571</v>
      </c>
      <c r="AH166" s="205" t="s">
        <v>3028</v>
      </c>
      <c r="AI166" s="205" t="s">
        <v>3022</v>
      </c>
    </row>
    <row r="167" spans="1:35">
      <c r="A167" s="221"/>
      <c r="B167" s="185" t="str">
        <f t="shared" si="21"/>
        <v>siatka stal czarny mat RAL 9005– oko 8x4x1 mm</v>
      </c>
      <c r="C167" s="170">
        <f t="shared" si="22"/>
        <v>787.32</v>
      </c>
      <c r="D167" s="134"/>
      <c r="E167" s="264">
        <v>5032.2870000000003</v>
      </c>
      <c r="F167" s="264"/>
      <c r="G167" s="265">
        <v>174.05530575539584</v>
      </c>
      <c r="H167" s="265"/>
      <c r="I167" s="264">
        <v>787.32</v>
      </c>
      <c r="J167" s="264"/>
      <c r="K167" s="264">
        <v>71464.430769230748</v>
      </c>
      <c r="L167" s="264"/>
      <c r="M167" s="185" t="s">
        <v>2566</v>
      </c>
      <c r="N167" s="206" t="s">
        <v>3014</v>
      </c>
      <c r="O167" s="205" t="s">
        <v>2565</v>
      </c>
      <c r="P167" s="34" t="s">
        <v>3025</v>
      </c>
      <c r="Q167" s="205" t="s">
        <v>3027</v>
      </c>
      <c r="R167" s="318" t="s">
        <v>3749</v>
      </c>
      <c r="T167" s="133">
        <v>1000</v>
      </c>
      <c r="U167" s="133">
        <v>500</v>
      </c>
      <c r="AA167" s="178" t="s">
        <v>3335</v>
      </c>
      <c r="AB167" t="s">
        <v>4572</v>
      </c>
      <c r="AH167" s="205" t="s">
        <v>3029</v>
      </c>
      <c r="AI167" s="205" t="s">
        <v>3023</v>
      </c>
    </row>
    <row r="168" spans="1:35">
      <c r="A168" s="221"/>
      <c r="B168" s="185" t="str">
        <f t="shared" si="21"/>
        <v>siatka stalowa biała - oko 8x4x1 mm</v>
      </c>
      <c r="C168" s="170">
        <f t="shared" si="22"/>
        <v>787.32</v>
      </c>
      <c r="D168" s="134"/>
      <c r="E168" s="264">
        <v>5032.2870000000003</v>
      </c>
      <c r="F168" s="264"/>
      <c r="G168" s="265">
        <v>174.05530575539584</v>
      </c>
      <c r="H168" s="265"/>
      <c r="I168" s="264">
        <v>787.32</v>
      </c>
      <c r="J168" s="264"/>
      <c r="K168" s="264">
        <v>71464.430769230748</v>
      </c>
      <c r="L168" s="264"/>
      <c r="M168" s="185" t="s">
        <v>3018</v>
      </c>
      <c r="N168" s="206" t="s">
        <v>3021</v>
      </c>
      <c r="O168" s="205" t="s">
        <v>3022</v>
      </c>
      <c r="P168" s="34" t="s">
        <v>3026</v>
      </c>
      <c r="Q168" s="205" t="s">
        <v>3028</v>
      </c>
      <c r="R168" s="318" t="s">
        <v>3750</v>
      </c>
      <c r="T168" s="133">
        <v>1000</v>
      </c>
      <c r="U168" s="133">
        <v>500</v>
      </c>
      <c r="AA168" s="178" t="s">
        <v>3336</v>
      </c>
      <c r="AB168" t="s">
        <v>4573</v>
      </c>
      <c r="AH168"/>
      <c r="AI168"/>
    </row>
    <row r="169" spans="1:35">
      <c r="B169" s="185" t="str">
        <f t="shared" si="21"/>
        <v>siatka elox - oko 10x6x1 mm</v>
      </c>
      <c r="C169" s="170">
        <f t="shared" si="22"/>
        <v>1959.5520000000001</v>
      </c>
      <c r="D169" s="134"/>
      <c r="E169" s="264">
        <v>12524.803200000002</v>
      </c>
      <c r="F169" s="264"/>
      <c r="G169" s="265">
        <v>433.20431654676258</v>
      </c>
      <c r="H169" s="265"/>
      <c r="I169" s="264">
        <v>1959.5520000000001</v>
      </c>
      <c r="J169" s="264"/>
      <c r="K169" s="264">
        <v>177867.02769230737</v>
      </c>
      <c r="L169" s="264"/>
      <c r="M169" s="185" t="s">
        <v>3019</v>
      </c>
      <c r="N169" s="206" t="s">
        <v>3020</v>
      </c>
      <c r="O169" s="205" t="s">
        <v>3023</v>
      </c>
      <c r="P169" s="34" t="s">
        <v>3024</v>
      </c>
      <c r="Q169" s="205" t="s">
        <v>3029</v>
      </c>
      <c r="R169" s="318" t="s">
        <v>3751</v>
      </c>
      <c r="T169" s="133">
        <v>1000</v>
      </c>
      <c r="U169" s="133">
        <v>500</v>
      </c>
      <c r="AA169" s="178" t="s">
        <v>3337</v>
      </c>
      <c r="AB169" t="s">
        <v>4574</v>
      </c>
      <c r="AH169"/>
      <c r="AI169"/>
    </row>
    <row r="170" spans="1:35">
      <c r="B170" s="182"/>
      <c r="G170" s="570"/>
      <c r="H170" s="570"/>
      <c r="I170" s="570"/>
      <c r="J170" s="570"/>
      <c r="K170" s="570"/>
      <c r="L170" s="570"/>
      <c r="AA170" s="178" t="s">
        <v>3338</v>
      </c>
      <c r="AB170" t="s">
        <v>4575</v>
      </c>
      <c r="AH170"/>
      <c r="AI170"/>
    </row>
    <row r="171" spans="1:35">
      <c r="B171" s="182" t="str">
        <f>IF($D$1=1,M171,IF($D$1=2,N171,IF($D$1=3,O171,IF($D$1=4,P171,IF($D$1=5,Q171,IF($D$1=6,R171,0))))))</f>
        <v>Ramka</v>
      </c>
      <c r="H171" s="133" t="s">
        <v>375</v>
      </c>
      <c r="M171" s="175" t="s">
        <v>899</v>
      </c>
      <c r="N171" s="133" t="s">
        <v>900</v>
      </c>
      <c r="O171" s="133" t="s">
        <v>930</v>
      </c>
      <c r="P171" s="133" t="s">
        <v>1113</v>
      </c>
      <c r="Q171" s="133" t="s">
        <v>929</v>
      </c>
      <c r="R171" s="318" t="s">
        <v>3752</v>
      </c>
      <c r="AA171" s="179" t="s">
        <v>3380</v>
      </c>
      <c r="AB171" t="s">
        <v>4576</v>
      </c>
      <c r="AH171"/>
      <c r="AI171"/>
    </row>
    <row r="172" spans="1:35">
      <c r="B172" s="182" t="str">
        <f t="shared" ref="B172:B235" si="23">IF($D$1=1,M172,IF($D$1=2,N172,IF($D$1=3,O172,IF($D$1=4,P172,IF($D$1=5,Q172,IF($D$1=6,R172,0))))))</f>
        <v>Standardowe wiercenie pod puszkę zawiasu wynosi 3mm od krawędzi.</v>
      </c>
      <c r="G172" s="133" t="s">
        <v>375</v>
      </c>
      <c r="J172" s="133" t="s">
        <v>375</v>
      </c>
      <c r="M172" s="175" t="s">
        <v>434</v>
      </c>
      <c r="N172" s="133" t="s">
        <v>469</v>
      </c>
      <c r="O172" s="133" t="s">
        <v>875</v>
      </c>
      <c r="P172" s="133" t="s">
        <v>1237</v>
      </c>
      <c r="Q172" s="133" t="s">
        <v>1439</v>
      </c>
      <c r="R172" s="318" t="s">
        <v>3753</v>
      </c>
      <c r="AA172" s="178" t="s">
        <v>3339</v>
      </c>
      <c r="AB172" t="s">
        <v>4577</v>
      </c>
      <c r="AH172"/>
      <c r="AI172"/>
    </row>
    <row r="173" spans="1:35">
      <c r="B173" s="182" t="str">
        <f t="shared" si="23"/>
        <v>Podane ceny nie zawierają podatku VAT ani nie zawierają ceny okuć!</v>
      </c>
      <c r="M173" s="175" t="s">
        <v>413</v>
      </c>
      <c r="N173" s="133" t="s">
        <v>470</v>
      </c>
      <c r="O173" s="133" t="s">
        <v>876</v>
      </c>
      <c r="P173" s="133" t="s">
        <v>1238</v>
      </c>
      <c r="Q173" s="133" t="s">
        <v>1440</v>
      </c>
      <c r="R173" s="318" t="s">
        <v>3754</v>
      </c>
      <c r="AA173" s="178" t="s">
        <v>4452</v>
      </c>
      <c r="AB173" t="s">
        <v>4444</v>
      </c>
      <c r="AH173"/>
      <c r="AI173"/>
    </row>
    <row r="174" spans="1:35">
      <c r="B174" s="182" t="str">
        <f t="shared" si="23"/>
        <v>Rodzaj profilu</v>
      </c>
      <c r="M174" s="175" t="s">
        <v>149</v>
      </c>
      <c r="N174" s="133" t="s">
        <v>149</v>
      </c>
      <c r="O174" s="133" t="s">
        <v>333</v>
      </c>
      <c r="P174" s="133" t="s">
        <v>345</v>
      </c>
      <c r="Q174" s="133" t="s">
        <v>1441</v>
      </c>
      <c r="R174" s="318" t="s">
        <v>3755</v>
      </c>
      <c r="AA174" s="178" t="s">
        <v>3340</v>
      </c>
      <c r="AB174" t="s">
        <v>4578</v>
      </c>
      <c r="AH174"/>
      <c r="AI174"/>
    </row>
    <row r="175" spans="1:35">
      <c r="B175" s="182" t="str">
        <f t="shared" si="23"/>
        <v>Rodzaj szkła</v>
      </c>
      <c r="M175" s="175" t="s">
        <v>2077</v>
      </c>
      <c r="N175" s="133" t="s">
        <v>2078</v>
      </c>
      <c r="O175" s="133" t="s">
        <v>12</v>
      </c>
      <c r="P175" s="133" t="s">
        <v>275</v>
      </c>
      <c r="Q175" s="133" t="s">
        <v>1347</v>
      </c>
      <c r="R175" s="318" t="s">
        <v>3756</v>
      </c>
      <c r="AA175" s="178" t="s">
        <v>3341</v>
      </c>
      <c r="AB175" t="s">
        <v>4579</v>
      </c>
      <c r="AH175"/>
      <c r="AI175"/>
    </row>
    <row r="176" spans="1:35">
      <c r="B176" s="182" t="str">
        <f t="shared" si="23"/>
        <v>Ilość sztuk</v>
      </c>
      <c r="M176" s="175" t="s">
        <v>4</v>
      </c>
      <c r="N176" s="133" t="s">
        <v>153</v>
      </c>
      <c r="O176" s="133" t="s">
        <v>13</v>
      </c>
      <c r="P176" s="133" t="s">
        <v>1239</v>
      </c>
      <c r="Q176" s="133" t="s">
        <v>901</v>
      </c>
      <c r="R176" s="318" t="s">
        <v>3757</v>
      </c>
      <c r="AA176" s="178" t="s">
        <v>3342</v>
      </c>
      <c r="AB176" t="s">
        <v>4580</v>
      </c>
      <c r="AH176"/>
      <c r="AI176"/>
    </row>
    <row r="177" spans="2:35">
      <c r="B177" s="182" t="str">
        <f t="shared" si="23"/>
        <v>Szerokość</v>
      </c>
      <c r="M177" s="175" t="s">
        <v>3</v>
      </c>
      <c r="N177" s="133" t="s">
        <v>154</v>
      </c>
      <c r="O177" s="133" t="s">
        <v>9</v>
      </c>
      <c r="P177" s="133" t="s">
        <v>276</v>
      </c>
      <c r="Q177" s="133" t="s">
        <v>902</v>
      </c>
      <c r="R177" s="318" t="s">
        <v>3758</v>
      </c>
      <c r="AA177" s="178" t="s">
        <v>3384</v>
      </c>
      <c r="AB177" t="s">
        <v>4581</v>
      </c>
      <c r="AH177"/>
      <c r="AI177"/>
    </row>
    <row r="178" spans="2:35">
      <c r="B178" s="182" t="str">
        <f t="shared" si="23"/>
        <v>Wysokość</v>
      </c>
      <c r="M178" s="175" t="s">
        <v>14</v>
      </c>
      <c r="N178" s="133" t="s">
        <v>14</v>
      </c>
      <c r="O178" s="133" t="s">
        <v>10</v>
      </c>
      <c r="P178" s="133" t="s">
        <v>277</v>
      </c>
      <c r="Q178" s="133" t="s">
        <v>903</v>
      </c>
      <c r="R178" s="318" t="s">
        <v>3759</v>
      </c>
      <c r="AA178" s="179" t="s">
        <v>3388</v>
      </c>
      <c r="AB178" t="s">
        <v>4582</v>
      </c>
      <c r="AH178"/>
      <c r="AI178"/>
    </row>
    <row r="179" spans="2:35">
      <c r="B179" s="182" t="str">
        <f t="shared" si="23"/>
        <v>Uwagi (notatki)</v>
      </c>
      <c r="M179" s="175" t="s">
        <v>331</v>
      </c>
      <c r="N179" s="133" t="s">
        <v>331</v>
      </c>
      <c r="O179" s="133" t="s">
        <v>210</v>
      </c>
      <c r="P179" s="133" t="s">
        <v>332</v>
      </c>
      <c r="Q179" s="133" t="s">
        <v>1407</v>
      </c>
      <c r="R179" s="318" t="s">
        <v>3760</v>
      </c>
      <c r="AA179" s="178" t="s">
        <v>3343</v>
      </c>
      <c r="AB179" t="s">
        <v>4583</v>
      </c>
      <c r="AH179"/>
      <c r="AI179"/>
    </row>
    <row r="180" spans="2:35">
      <c r="B180" s="182" t="str">
        <f t="shared" si="23"/>
        <v>Cena ramek</v>
      </c>
      <c r="J180" s="133" t="s">
        <v>375</v>
      </c>
      <c r="M180" s="175" t="s">
        <v>16</v>
      </c>
      <c r="N180" s="133" t="s">
        <v>155</v>
      </c>
      <c r="O180" s="133" t="s">
        <v>211</v>
      </c>
      <c r="P180" s="133" t="s">
        <v>278</v>
      </c>
      <c r="Q180" s="133" t="s">
        <v>904</v>
      </c>
      <c r="R180" s="318" t="s">
        <v>3761</v>
      </c>
      <c r="AA180" s="178" t="s">
        <v>3344</v>
      </c>
      <c r="AB180" t="s">
        <v>4584</v>
      </c>
      <c r="AH180"/>
      <c r="AI180"/>
    </row>
    <row r="181" spans="2:35">
      <c r="B181" s="182" t="str">
        <f t="shared" si="23"/>
        <v>Cena okuć</v>
      </c>
      <c r="M181" s="133" t="s">
        <v>17</v>
      </c>
      <c r="N181" s="133" t="s">
        <v>156</v>
      </c>
      <c r="O181" s="133" t="s">
        <v>212</v>
      </c>
      <c r="P181" s="133" t="s">
        <v>279</v>
      </c>
      <c r="Q181" s="133" t="s">
        <v>1442</v>
      </c>
      <c r="R181" s="318" t="s">
        <v>3762</v>
      </c>
      <c r="AA181" s="178" t="s">
        <v>3345</v>
      </c>
      <c r="AB181" t="s">
        <v>4585</v>
      </c>
      <c r="AH181"/>
      <c r="AI181"/>
    </row>
    <row r="182" spans="2:35">
      <c r="B182" s="182" t="str">
        <f t="shared" si="23"/>
        <v>Cena za kompletne zamówienie</v>
      </c>
      <c r="M182" s="133" t="s">
        <v>49</v>
      </c>
      <c r="N182" s="133" t="s">
        <v>157</v>
      </c>
      <c r="O182" s="133" t="s">
        <v>213</v>
      </c>
      <c r="P182" s="133" t="s">
        <v>280</v>
      </c>
      <c r="Q182" s="133" t="s">
        <v>1443</v>
      </c>
      <c r="R182" s="318" t="s">
        <v>3763</v>
      </c>
      <c r="AA182" s="178" t="s">
        <v>3346</v>
      </c>
      <c r="AB182" t="s">
        <v>4586</v>
      </c>
      <c r="AH182"/>
      <c r="AI182"/>
    </row>
    <row r="183" spans="2:35">
      <c r="B183" s="182" t="str">
        <f t="shared" si="23"/>
        <v>Zawiasy</v>
      </c>
      <c r="M183" s="175" t="s">
        <v>399</v>
      </c>
      <c r="N183" s="133" t="s">
        <v>400</v>
      </c>
      <c r="O183" s="133" t="s">
        <v>401</v>
      </c>
      <c r="P183" s="133" t="s">
        <v>402</v>
      </c>
      <c r="Q183" s="133" t="s">
        <v>1444</v>
      </c>
      <c r="R183" s="318" t="s">
        <v>3764</v>
      </c>
      <c r="AA183" s="178" t="s">
        <v>3347</v>
      </c>
      <c r="AB183" t="s">
        <v>4587</v>
      </c>
      <c r="AH183"/>
      <c r="AI183"/>
    </row>
    <row r="184" spans="2:35">
      <c r="B184" s="182" t="str">
        <f t="shared" si="23"/>
        <v>Aventos - pozostałe</v>
      </c>
      <c r="M184" s="175" t="s">
        <v>403</v>
      </c>
      <c r="N184" s="133" t="s">
        <v>404</v>
      </c>
      <c r="O184" s="133" t="s">
        <v>405</v>
      </c>
      <c r="P184" s="133" t="s">
        <v>1240</v>
      </c>
      <c r="Q184" s="133" t="s">
        <v>1445</v>
      </c>
      <c r="R184" s="318" t="s">
        <v>3765</v>
      </c>
      <c r="AA184" s="178" t="s">
        <v>3348</v>
      </c>
      <c r="AB184" t="s">
        <v>4588</v>
      </c>
      <c r="AH184"/>
      <c r="AI184"/>
    </row>
    <row r="185" spans="2:35">
      <c r="B185" s="182" t="str">
        <f t="shared" si="23"/>
        <v>STRONG z tłumieniem</v>
      </c>
      <c r="M185" s="175" t="s">
        <v>639</v>
      </c>
      <c r="N185" s="133" t="s">
        <v>845</v>
      </c>
      <c r="O185" s="133" t="s">
        <v>846</v>
      </c>
      <c r="P185" s="133" t="s">
        <v>847</v>
      </c>
      <c r="Q185" s="133" t="s">
        <v>1446</v>
      </c>
      <c r="R185" s="318" t="s">
        <v>3766</v>
      </c>
      <c r="AA185" s="178" t="s">
        <v>3349</v>
      </c>
      <c r="AB185" t="s">
        <v>4589</v>
      </c>
      <c r="AH185"/>
      <c r="AI185"/>
    </row>
    <row r="186" spans="2:35">
      <c r="B186" s="182" t="str">
        <f t="shared" si="23"/>
        <v>Zawias z podnośnikiem gazowym</v>
      </c>
      <c r="M186" s="175" t="s">
        <v>406</v>
      </c>
      <c r="N186" s="133" t="s">
        <v>407</v>
      </c>
      <c r="O186" s="133" t="s">
        <v>1300</v>
      </c>
      <c r="P186" s="133" t="s">
        <v>1241</v>
      </c>
      <c r="Q186" s="133" t="s">
        <v>1447</v>
      </c>
      <c r="R186" s="318" t="s">
        <v>3767</v>
      </c>
      <c r="AA186" s="178" t="s">
        <v>3350</v>
      </c>
      <c r="AB186" t="s">
        <v>4590</v>
      </c>
      <c r="AH186"/>
      <c r="AI186"/>
    </row>
    <row r="187" spans="2:35">
      <c r="B187" s="182" t="str">
        <f t="shared" si="23"/>
        <v>Górne drzwi</v>
      </c>
      <c r="M187" s="175" t="s">
        <v>3009</v>
      </c>
      <c r="N187" s="133" t="s">
        <v>158</v>
      </c>
      <c r="O187" s="133" t="s">
        <v>214</v>
      </c>
      <c r="P187" s="133" t="s">
        <v>408</v>
      </c>
      <c r="Q187" s="133" t="s">
        <v>1348</v>
      </c>
      <c r="R187" s="318" t="s">
        <v>3768</v>
      </c>
      <c r="AA187" s="178" t="s">
        <v>4559</v>
      </c>
      <c r="AB187" t="s">
        <v>4591</v>
      </c>
      <c r="AH187"/>
      <c r="AI187"/>
    </row>
    <row r="188" spans="2:35">
      <c r="B188" s="182" t="str">
        <f t="shared" si="23"/>
        <v>Dolne drzwi</v>
      </c>
      <c r="M188" s="175" t="s">
        <v>3010</v>
      </c>
      <c r="N188" s="133" t="s">
        <v>159</v>
      </c>
      <c r="O188" s="133" t="s">
        <v>215</v>
      </c>
      <c r="P188" s="133" t="s">
        <v>281</v>
      </c>
      <c r="Q188" s="133" t="s">
        <v>1349</v>
      </c>
      <c r="R188" s="318" t="s">
        <v>3769</v>
      </c>
      <c r="AA188" s="178" t="s">
        <v>4453</v>
      </c>
      <c r="AB188" t="s">
        <v>4433</v>
      </c>
      <c r="AH188"/>
      <c r="AI188"/>
    </row>
    <row r="189" spans="2:35">
      <c r="B189" s="182" t="str">
        <f t="shared" si="23"/>
        <v>Nakładany Clip</v>
      </c>
      <c r="M189" s="154" t="s">
        <v>64</v>
      </c>
      <c r="N189" s="133" t="s">
        <v>64</v>
      </c>
      <c r="O189" s="133" t="s">
        <v>216</v>
      </c>
      <c r="P189" s="133" t="s">
        <v>282</v>
      </c>
      <c r="Q189" s="133" t="s">
        <v>1448</v>
      </c>
      <c r="R189" s="318" t="s">
        <v>3770</v>
      </c>
      <c r="AA189" s="178" t="s">
        <v>3351</v>
      </c>
      <c r="AB189" t="s">
        <v>4592</v>
      </c>
      <c r="AH189"/>
      <c r="AI189"/>
    </row>
    <row r="190" spans="2:35">
      <c r="B190" s="182" t="str">
        <f t="shared" si="23"/>
        <v>Półnakładany Clip</v>
      </c>
      <c r="M190" s="154" t="s">
        <v>65</v>
      </c>
      <c r="N190" s="133" t="s">
        <v>65</v>
      </c>
      <c r="O190" s="133" t="s">
        <v>217</v>
      </c>
      <c r="P190" s="133" t="s">
        <v>1242</v>
      </c>
      <c r="Q190" s="133" t="s">
        <v>1449</v>
      </c>
      <c r="R190" s="318" t="s">
        <v>3771</v>
      </c>
      <c r="AA190" s="178" t="s">
        <v>3352</v>
      </c>
      <c r="AB190" t="s">
        <v>556</v>
      </c>
      <c r="AH190"/>
      <c r="AI190"/>
    </row>
    <row r="191" spans="2:35">
      <c r="B191" s="182" t="str">
        <f t="shared" si="23"/>
        <v>Wpuszczany Clip</v>
      </c>
      <c r="M191" s="154" t="s">
        <v>66</v>
      </c>
      <c r="N191" s="133" t="s">
        <v>66</v>
      </c>
      <c r="O191" s="133" t="s">
        <v>218</v>
      </c>
      <c r="P191" s="133" t="s">
        <v>1243</v>
      </c>
      <c r="Q191" s="133" t="s">
        <v>1450</v>
      </c>
      <c r="R191" s="318" t="s">
        <v>3772</v>
      </c>
      <c r="AA191" s="178" t="s">
        <v>3353</v>
      </c>
      <c r="AB191" t="s">
        <v>4593</v>
      </c>
      <c r="AH191"/>
      <c r="AI191"/>
    </row>
    <row r="192" spans="2:35">
      <c r="B192" s="182" t="str">
        <f t="shared" si="23"/>
        <v>Kąt 45°</v>
      </c>
      <c r="M192" s="154" t="s">
        <v>67</v>
      </c>
      <c r="N192" s="133" t="s">
        <v>160</v>
      </c>
      <c r="O192" s="133" t="s">
        <v>219</v>
      </c>
      <c r="P192" s="133" t="s">
        <v>283</v>
      </c>
      <c r="Q192" s="133" t="s">
        <v>1350</v>
      </c>
      <c r="R192" s="318" t="s">
        <v>3773</v>
      </c>
      <c r="AA192" s="202" t="s">
        <v>3354</v>
      </c>
      <c r="AB192" t="s">
        <v>4594</v>
      </c>
      <c r="AH192"/>
      <c r="AI192"/>
    </row>
    <row r="193" spans="2:35">
      <c r="B193" s="182" t="str">
        <f t="shared" si="23"/>
        <v>Nakładany</v>
      </c>
      <c r="M193" s="133" t="s">
        <v>68</v>
      </c>
      <c r="N193" s="133" t="s">
        <v>161</v>
      </c>
      <c r="O193" s="133" t="s">
        <v>220</v>
      </c>
      <c r="P193" s="133" t="s">
        <v>284</v>
      </c>
      <c r="Q193" s="133" t="s">
        <v>1595</v>
      </c>
      <c r="R193" s="318" t="s">
        <v>3774</v>
      </c>
      <c r="AA193" s="178" t="s">
        <v>4455</v>
      </c>
      <c r="AB193" t="s">
        <v>4445</v>
      </c>
      <c r="AH193"/>
      <c r="AI193"/>
    </row>
    <row r="194" spans="2:35">
      <c r="B194" s="182" t="str">
        <f t="shared" si="23"/>
        <v>Półnakładany</v>
      </c>
      <c r="M194" s="133" t="s">
        <v>69</v>
      </c>
      <c r="N194" s="133" t="s">
        <v>162</v>
      </c>
      <c r="O194" s="133" t="s">
        <v>221</v>
      </c>
      <c r="P194" s="133" t="s">
        <v>1244</v>
      </c>
      <c r="Q194" s="133" t="s">
        <v>1452</v>
      </c>
      <c r="R194" s="318" t="s">
        <v>3775</v>
      </c>
      <c r="AA194" s="178" t="s">
        <v>3355</v>
      </c>
      <c r="AB194" t="s">
        <v>4595</v>
      </c>
      <c r="AH194"/>
      <c r="AI194"/>
    </row>
    <row r="195" spans="2:35">
      <c r="B195" s="182" t="str">
        <f t="shared" si="23"/>
        <v xml:space="preserve">Wpuszczany </v>
      </c>
      <c r="M195" s="133" t="s">
        <v>70</v>
      </c>
      <c r="N195" s="133" t="s">
        <v>163</v>
      </c>
      <c r="O195" s="133" t="s">
        <v>222</v>
      </c>
      <c r="P195" s="133" t="s">
        <v>1245</v>
      </c>
      <c r="Q195" s="133" t="s">
        <v>905</v>
      </c>
      <c r="R195" s="318" t="s">
        <v>3776</v>
      </c>
      <c r="AA195" s="178" t="s">
        <v>3356</v>
      </c>
      <c r="AB195" t="s">
        <v>4596</v>
      </c>
      <c r="AH195"/>
      <c r="AI195"/>
    </row>
    <row r="196" spans="2:35">
      <c r="B196" s="182" t="str">
        <f t="shared" si="23"/>
        <v>Kąt 45°</v>
      </c>
      <c r="M196" s="133" t="s">
        <v>67</v>
      </c>
      <c r="N196" s="133" t="s">
        <v>160</v>
      </c>
      <c r="O196" s="133" t="s">
        <v>219</v>
      </c>
      <c r="P196" s="133" t="s">
        <v>283</v>
      </c>
      <c r="Q196" s="133" t="s">
        <v>1350</v>
      </c>
      <c r="R196" s="318" t="s">
        <v>3773</v>
      </c>
      <c r="AA196" s="202" t="s">
        <v>4564</v>
      </c>
      <c r="AB196" t="s">
        <v>4597</v>
      </c>
      <c r="AH196"/>
      <c r="AI196"/>
    </row>
    <row r="197" spans="2:35">
      <c r="B197" s="182" t="str">
        <f t="shared" si="23"/>
        <v>Nakładany z odwrotną funkcją sprężyny</v>
      </c>
      <c r="M197" s="133" t="s">
        <v>71</v>
      </c>
      <c r="N197" s="133" t="s">
        <v>71</v>
      </c>
      <c r="O197" s="133" t="s">
        <v>223</v>
      </c>
      <c r="P197" s="133" t="s">
        <v>287</v>
      </c>
      <c r="Q197" s="133" t="s">
        <v>1453</v>
      </c>
      <c r="R197" s="318" t="s">
        <v>3777</v>
      </c>
      <c r="AA197" s="202" t="s">
        <v>3393</v>
      </c>
      <c r="AB197" t="s">
        <v>4598</v>
      </c>
      <c r="AH197"/>
      <c r="AI197"/>
    </row>
    <row r="198" spans="2:35">
      <c r="B198" s="182" t="str">
        <f t="shared" si="23"/>
        <v>Wpuszczany z odwrotną funkcją sprężyny</v>
      </c>
      <c r="M198" s="133" t="s">
        <v>72</v>
      </c>
      <c r="N198" s="133" t="s">
        <v>72</v>
      </c>
      <c r="O198" s="133" t="s">
        <v>224</v>
      </c>
      <c r="P198" s="133" t="s">
        <v>1246</v>
      </c>
      <c r="Q198" s="133" t="s">
        <v>1454</v>
      </c>
      <c r="R198" s="318" t="s">
        <v>3778</v>
      </c>
      <c r="AA198" s="178" t="s">
        <v>3357</v>
      </c>
      <c r="AB198" t="s">
        <v>4599</v>
      </c>
      <c r="AH198"/>
      <c r="AI198"/>
    </row>
    <row r="199" spans="2:35">
      <c r="B199" s="182" t="str">
        <f t="shared" si="23"/>
        <v>Clip na wkręt H2</v>
      </c>
      <c r="M199" s="175" t="s">
        <v>87</v>
      </c>
      <c r="N199" s="133" t="s">
        <v>164</v>
      </c>
      <c r="O199" s="133" t="s">
        <v>225</v>
      </c>
      <c r="P199" s="133" t="s">
        <v>288</v>
      </c>
      <c r="Q199" s="133" t="s">
        <v>1455</v>
      </c>
      <c r="R199" s="318" t="s">
        <v>3779</v>
      </c>
      <c r="AA199" s="178" t="s">
        <v>3358</v>
      </c>
      <c r="AB199" t="s">
        <v>4600</v>
      </c>
      <c r="AH199"/>
      <c r="AI199"/>
    </row>
    <row r="200" spans="2:35">
      <c r="B200" s="182" t="str">
        <f t="shared" si="23"/>
        <v>Clip na wkręt H4</v>
      </c>
      <c r="M200" s="175" t="s">
        <v>88</v>
      </c>
      <c r="N200" s="133" t="s">
        <v>165</v>
      </c>
      <c r="O200" s="133" t="s">
        <v>226</v>
      </c>
      <c r="P200" s="133" t="s">
        <v>289</v>
      </c>
      <c r="Q200" s="133" t="s">
        <v>1456</v>
      </c>
      <c r="R200" s="318" t="s">
        <v>3780</v>
      </c>
      <c r="AA200" s="202" t="s">
        <v>4567</v>
      </c>
      <c r="AB200" t="s">
        <v>4601</v>
      </c>
      <c r="AH200"/>
      <c r="AI200"/>
    </row>
    <row r="201" spans="2:35">
      <c r="B201" s="182" t="str">
        <f t="shared" si="23"/>
        <v>Clip na wkręt euro H2</v>
      </c>
      <c r="M201" s="175" t="s">
        <v>89</v>
      </c>
      <c r="N201" s="133" t="s">
        <v>166</v>
      </c>
      <c r="O201" s="133" t="s">
        <v>227</v>
      </c>
      <c r="P201" s="133" t="s">
        <v>290</v>
      </c>
      <c r="Q201" s="133" t="s">
        <v>1457</v>
      </c>
      <c r="R201" s="318" t="s">
        <v>4146</v>
      </c>
      <c r="AA201" s="202" t="s">
        <v>3359</v>
      </c>
      <c r="AB201" t="s">
        <v>4602</v>
      </c>
      <c r="AH201"/>
      <c r="AI201"/>
    </row>
    <row r="202" spans="2:35">
      <c r="B202" s="182" t="str">
        <f t="shared" si="23"/>
        <v>Clip na wkręt euro H4</v>
      </c>
      <c r="M202" s="175" t="s">
        <v>90</v>
      </c>
      <c r="N202" s="133" t="s">
        <v>167</v>
      </c>
      <c r="O202" s="133" t="s">
        <v>228</v>
      </c>
      <c r="P202" s="133" t="s">
        <v>291</v>
      </c>
      <c r="Q202" s="133" t="s">
        <v>1458</v>
      </c>
      <c r="R202" s="318" t="s">
        <v>3781</v>
      </c>
      <c r="AA202" s="202" t="s">
        <v>3360</v>
      </c>
      <c r="AB202" t="s">
        <v>4603</v>
      </c>
      <c r="AH202"/>
      <c r="AI202"/>
    </row>
    <row r="203" spans="2:35">
      <c r="B203" s="182" t="str">
        <f t="shared" si="23"/>
        <v>Slide on na wkręt H2</v>
      </c>
      <c r="M203" s="175" t="s">
        <v>91</v>
      </c>
      <c r="N203" s="133" t="s">
        <v>168</v>
      </c>
      <c r="O203" s="133" t="s">
        <v>229</v>
      </c>
      <c r="P203" s="133" t="s">
        <v>292</v>
      </c>
      <c r="Q203" s="133" t="s">
        <v>1459</v>
      </c>
      <c r="R203" s="318" t="s">
        <v>3782</v>
      </c>
      <c r="AA203" s="202" t="s">
        <v>3361</v>
      </c>
      <c r="AB203" t="s">
        <v>4604</v>
      </c>
      <c r="AH203"/>
      <c r="AI203"/>
    </row>
    <row r="204" spans="2:35">
      <c r="B204" s="182" t="str">
        <f t="shared" si="23"/>
        <v>Slide on na wkręt H4</v>
      </c>
      <c r="M204" s="175" t="s">
        <v>92</v>
      </c>
      <c r="N204" s="133" t="s">
        <v>169</v>
      </c>
      <c r="O204" s="133" t="s">
        <v>230</v>
      </c>
      <c r="P204" s="133" t="s">
        <v>293</v>
      </c>
      <c r="Q204" s="133" t="s">
        <v>1460</v>
      </c>
      <c r="R204" s="318" t="s">
        <v>3783</v>
      </c>
      <c r="AA204" s="202" t="s">
        <v>3321</v>
      </c>
      <c r="AB204" t="s">
        <v>4605</v>
      </c>
      <c r="AH204"/>
      <c r="AI204"/>
    </row>
    <row r="205" spans="2:35">
      <c r="B205" s="182" t="str">
        <f t="shared" si="23"/>
        <v>Slide on na euro wkręt H2</v>
      </c>
      <c r="M205" s="175" t="s">
        <v>93</v>
      </c>
      <c r="N205" s="133" t="s">
        <v>170</v>
      </c>
      <c r="O205" s="133" t="s">
        <v>231</v>
      </c>
      <c r="P205" s="133" t="s">
        <v>294</v>
      </c>
      <c r="Q205" s="133" t="s">
        <v>1461</v>
      </c>
      <c r="R205" s="318" t="s">
        <v>3784</v>
      </c>
      <c r="AA205" s="202" t="s">
        <v>3397</v>
      </c>
      <c r="AB205" t="s">
        <v>4606</v>
      </c>
      <c r="AH205"/>
      <c r="AI205"/>
    </row>
    <row r="206" spans="2:35">
      <c r="B206" s="182" t="str">
        <f t="shared" si="23"/>
        <v>Slide on na euro wkręt H4</v>
      </c>
      <c r="M206" s="175" t="s">
        <v>94</v>
      </c>
      <c r="N206" s="133" t="s">
        <v>171</v>
      </c>
      <c r="O206" s="133" t="s">
        <v>232</v>
      </c>
      <c r="P206" s="133" t="s">
        <v>295</v>
      </c>
      <c r="Q206" s="133" t="s">
        <v>1462</v>
      </c>
      <c r="R206" s="318" t="s">
        <v>3785</v>
      </c>
      <c r="AA206" s="202" t="s">
        <v>3401</v>
      </c>
      <c r="AB206" t="s">
        <v>4607</v>
      </c>
      <c r="AH206"/>
      <c r="AI206"/>
    </row>
    <row r="207" spans="2:35">
      <c r="B207" s="182" t="str">
        <f t="shared" si="23"/>
        <v>Nakładany do Blumotion</v>
      </c>
      <c r="M207" s="175" t="s">
        <v>78</v>
      </c>
      <c r="N207" s="133" t="s">
        <v>172</v>
      </c>
      <c r="O207" s="133" t="s">
        <v>233</v>
      </c>
      <c r="P207" s="133" t="s">
        <v>296</v>
      </c>
      <c r="Q207" s="133" t="s">
        <v>1463</v>
      </c>
      <c r="R207" s="318" t="s">
        <v>3786</v>
      </c>
      <c r="AA207" s="178" t="s">
        <v>4397</v>
      </c>
      <c r="AB207" t="s">
        <v>4418</v>
      </c>
      <c r="AH207"/>
      <c r="AI207"/>
    </row>
    <row r="208" spans="2:35">
      <c r="B208" s="182" t="str">
        <f t="shared" si="23"/>
        <v>Półnakładany ze zintegrowanym Blumotionem</v>
      </c>
      <c r="M208" s="175" t="s">
        <v>432</v>
      </c>
      <c r="N208" s="133" t="s">
        <v>471</v>
      </c>
      <c r="O208" s="133" t="s">
        <v>1301</v>
      </c>
      <c r="P208" s="133" t="s">
        <v>482</v>
      </c>
      <c r="Q208" s="133" t="s">
        <v>1464</v>
      </c>
      <c r="R208" s="318" t="s">
        <v>3787</v>
      </c>
      <c r="AA208" s="202" t="s">
        <v>4403</v>
      </c>
      <c r="AB208" t="s">
        <v>4608</v>
      </c>
      <c r="AH208"/>
      <c r="AI208"/>
    </row>
    <row r="209" spans="2:35">
      <c r="B209" s="182" t="str">
        <f t="shared" si="23"/>
        <v>Wpuszczany ze zintegrowanym Blumotionem</v>
      </c>
      <c r="M209" s="175" t="s">
        <v>433</v>
      </c>
      <c r="N209" s="133" t="s">
        <v>472</v>
      </c>
      <c r="O209" s="133" t="s">
        <v>1302</v>
      </c>
      <c r="P209" s="133" t="s">
        <v>1247</v>
      </c>
      <c r="Q209" s="133" t="s">
        <v>1465</v>
      </c>
      <c r="R209" s="318" t="s">
        <v>3788</v>
      </c>
      <c r="AA209" s="178" t="s">
        <v>4426</v>
      </c>
      <c r="AB209" t="s">
        <v>4609</v>
      </c>
      <c r="AH209"/>
      <c r="AI209"/>
    </row>
    <row r="210" spans="2:35">
      <c r="B210" s="182" t="str">
        <f t="shared" si="23"/>
        <v>45° clip nakładany</v>
      </c>
      <c r="M210" s="133" t="s">
        <v>80</v>
      </c>
      <c r="N210" s="133" t="s">
        <v>173</v>
      </c>
      <c r="O210" s="133" t="s">
        <v>234</v>
      </c>
      <c r="P210" s="133" t="s">
        <v>297</v>
      </c>
      <c r="Q210" s="133" t="s">
        <v>1466</v>
      </c>
      <c r="R210" s="318" t="s">
        <v>3789</v>
      </c>
      <c r="AA210" s="178" t="s">
        <v>4407</v>
      </c>
      <c r="AB210" t="s">
        <v>4419</v>
      </c>
      <c r="AH210"/>
      <c r="AI210"/>
    </row>
    <row r="211" spans="2:35">
      <c r="B211" s="182" t="str">
        <f t="shared" si="23"/>
        <v>45° clip półnakładany</v>
      </c>
      <c r="M211" s="133" t="s">
        <v>79</v>
      </c>
      <c r="N211" s="133" t="s">
        <v>79</v>
      </c>
      <c r="O211" s="133" t="s">
        <v>235</v>
      </c>
      <c r="P211" s="133" t="s">
        <v>1248</v>
      </c>
      <c r="Q211" s="133" t="s">
        <v>1467</v>
      </c>
      <c r="R211" s="318" t="s">
        <v>3790</v>
      </c>
      <c r="AA211" s="178" t="s">
        <v>4414</v>
      </c>
      <c r="AB211" t="s">
        <v>4420</v>
      </c>
      <c r="AH211"/>
      <c r="AI211"/>
    </row>
    <row r="212" spans="2:35">
      <c r="B212" s="182" t="str">
        <f t="shared" si="23"/>
        <v xml:space="preserve">Nakładany bez sprężyny </v>
      </c>
      <c r="M212" s="133" t="s">
        <v>73</v>
      </c>
      <c r="N212" s="133" t="s">
        <v>73</v>
      </c>
      <c r="O212" s="133" t="s">
        <v>236</v>
      </c>
      <c r="P212" s="133" t="s">
        <v>298</v>
      </c>
      <c r="Q212" s="133" t="s">
        <v>1468</v>
      </c>
      <c r="R212" s="318" t="s">
        <v>3791</v>
      </c>
      <c r="AA212" s="178" t="s">
        <v>4465</v>
      </c>
      <c r="AB212" t="s">
        <v>4610</v>
      </c>
      <c r="AH212"/>
      <c r="AI212"/>
    </row>
    <row r="213" spans="2:35">
      <c r="B213" s="182" t="str">
        <f t="shared" si="23"/>
        <v>Nakładany bez sprężyny (TIP-ON)</v>
      </c>
      <c r="M213" s="133" t="s">
        <v>81</v>
      </c>
      <c r="N213" s="133" t="s">
        <v>174</v>
      </c>
      <c r="O213" s="133" t="s">
        <v>237</v>
      </c>
      <c r="P213" s="133" t="s">
        <v>299</v>
      </c>
      <c r="Q213" s="133" t="s">
        <v>1469</v>
      </c>
      <c r="R213" s="318" t="s">
        <v>3792</v>
      </c>
      <c r="AA213" s="178" t="s">
        <v>4466</v>
      </c>
      <c r="AB213" t="s">
        <v>4611</v>
      </c>
      <c r="AH213"/>
      <c r="AI213"/>
    </row>
    <row r="214" spans="2:35">
      <c r="B214" s="182" t="str">
        <f t="shared" si="23"/>
        <v xml:space="preserve">Clip na wkręt euro </v>
      </c>
      <c r="M214" s="133" t="s">
        <v>83</v>
      </c>
      <c r="N214" s="133" t="s">
        <v>175</v>
      </c>
      <c r="O214" s="133" t="s">
        <v>238</v>
      </c>
      <c r="P214" s="133" t="s">
        <v>300</v>
      </c>
      <c r="Q214" s="133" t="s">
        <v>1470</v>
      </c>
      <c r="R214" s="318" t="s">
        <v>3793</v>
      </c>
      <c r="AA214" s="178" t="s">
        <v>4467</v>
      </c>
      <c r="AB214" t="s">
        <v>4612</v>
      </c>
      <c r="AH214"/>
      <c r="AI214"/>
    </row>
    <row r="215" spans="2:35">
      <c r="B215" s="182" t="str">
        <f t="shared" si="23"/>
        <v>Clip na wkręt</v>
      </c>
      <c r="M215" s="133" t="s">
        <v>82</v>
      </c>
      <c r="N215" s="133" t="s">
        <v>176</v>
      </c>
      <c r="O215" s="133" t="s">
        <v>239</v>
      </c>
      <c r="P215" s="133" t="s">
        <v>301</v>
      </c>
      <c r="Q215" s="133" t="s">
        <v>1471</v>
      </c>
      <c r="R215" s="318" t="s">
        <v>3794</v>
      </c>
      <c r="AA215" s="178" t="s">
        <v>4481</v>
      </c>
      <c r="AB215" t="s">
        <v>4613</v>
      </c>
      <c r="AH215"/>
      <c r="AI215"/>
    </row>
    <row r="216" spans="2:35">
      <c r="B216" s="182" t="str">
        <f t="shared" si="23"/>
        <v>Podwyższenie o 6mm</v>
      </c>
      <c r="M216" s="133" t="s">
        <v>84</v>
      </c>
      <c r="N216" s="133" t="s">
        <v>177</v>
      </c>
      <c r="O216" s="133" t="s">
        <v>1303</v>
      </c>
      <c r="P216" s="133" t="s">
        <v>302</v>
      </c>
      <c r="Q216" s="133" t="s">
        <v>906</v>
      </c>
      <c r="R216" s="318" t="s">
        <v>3795</v>
      </c>
      <c r="AA216" s="178" t="s">
        <v>4482</v>
      </c>
      <c r="AB216" t="s">
        <v>4614</v>
      </c>
      <c r="AH216"/>
      <c r="AI216"/>
    </row>
    <row r="217" spans="2:35">
      <c r="B217" s="182" t="str">
        <f t="shared" si="23"/>
        <v>45° clip</v>
      </c>
      <c r="M217" s="133" t="s">
        <v>0</v>
      </c>
      <c r="N217" s="133" t="s">
        <v>178</v>
      </c>
      <c r="O217" s="133" t="s">
        <v>0</v>
      </c>
      <c r="P217" s="133" t="s">
        <v>1249</v>
      </c>
      <c r="Q217" s="133" t="s">
        <v>1472</v>
      </c>
      <c r="R217" s="318" t="s">
        <v>3796</v>
      </c>
      <c r="AA217" s="185" t="s">
        <v>3322</v>
      </c>
      <c r="AB217" t="s">
        <v>4615</v>
      </c>
      <c r="AH217"/>
      <c r="AI217"/>
    </row>
    <row r="218" spans="2:35">
      <c r="B218" s="182" t="str">
        <f t="shared" si="23"/>
        <v xml:space="preserve">Clip na wkręt euro H0 </v>
      </c>
      <c r="M218" s="133" t="s">
        <v>86</v>
      </c>
      <c r="N218" s="133" t="s">
        <v>179</v>
      </c>
      <c r="O218" s="133" t="s">
        <v>240</v>
      </c>
      <c r="P218" s="133" t="s">
        <v>303</v>
      </c>
      <c r="Q218" s="133" t="s">
        <v>1473</v>
      </c>
      <c r="R218" s="318" t="s">
        <v>3797</v>
      </c>
      <c r="AA218" s="185" t="s">
        <v>3323</v>
      </c>
      <c r="AB218" t="s">
        <v>4616</v>
      </c>
      <c r="AH218"/>
      <c r="AI218"/>
    </row>
    <row r="219" spans="2:35">
      <c r="B219" s="182" t="str">
        <f t="shared" si="23"/>
        <v>Clip na wkręt H0</v>
      </c>
      <c r="M219" s="133" t="s">
        <v>85</v>
      </c>
      <c r="N219" s="133" t="s">
        <v>180</v>
      </c>
      <c r="O219" s="133" t="s">
        <v>241</v>
      </c>
      <c r="P219" s="133" t="s">
        <v>304</v>
      </c>
      <c r="Q219" s="133" t="s">
        <v>1474</v>
      </c>
      <c r="R219" s="318" t="s">
        <v>3798</v>
      </c>
      <c r="AA219" s="185" t="s">
        <v>3324</v>
      </c>
      <c r="AB219" t="s">
        <v>4617</v>
      </c>
      <c r="AH219"/>
      <c r="AI219"/>
    </row>
    <row r="220" spans="2:35">
      <c r="B220" s="182" t="str">
        <f t="shared" si="23"/>
        <v>Wybierz pozycję ramki</v>
      </c>
      <c r="M220" s="133" t="s">
        <v>104</v>
      </c>
      <c r="N220" s="133" t="s">
        <v>181</v>
      </c>
      <c r="O220" s="133" t="s">
        <v>1304</v>
      </c>
      <c r="P220" s="133" t="s">
        <v>305</v>
      </c>
      <c r="Q220" s="133" t="s">
        <v>1351</v>
      </c>
      <c r="R220" s="318" t="s">
        <v>3799</v>
      </c>
      <c r="AA220" s="185" t="s">
        <v>3325</v>
      </c>
      <c r="AB220" t="s">
        <v>4618</v>
      </c>
      <c r="AH220"/>
      <c r="AI220"/>
    </row>
    <row r="221" spans="2:35">
      <c r="B221" s="182" t="str">
        <f t="shared" si="23"/>
        <v>Marka zawiasu</v>
      </c>
      <c r="M221" s="133" t="s">
        <v>95</v>
      </c>
      <c r="N221" s="133" t="s">
        <v>182</v>
      </c>
      <c r="O221" s="133" t="s">
        <v>242</v>
      </c>
      <c r="P221" s="133" t="s">
        <v>306</v>
      </c>
      <c r="Q221" s="133" t="s">
        <v>1352</v>
      </c>
      <c r="R221" s="318" t="s">
        <v>3800</v>
      </c>
      <c r="AA221" s="185" t="s">
        <v>3326</v>
      </c>
      <c r="AB221" t="s">
        <v>4619</v>
      </c>
      <c r="AH221"/>
      <c r="AI221"/>
    </row>
    <row r="222" spans="2:35">
      <c r="B222" s="182" t="str">
        <f t="shared" si="23"/>
        <v>Rodzaj zawiasu</v>
      </c>
      <c r="M222" s="133" t="s">
        <v>96</v>
      </c>
      <c r="N222" s="133" t="s">
        <v>183</v>
      </c>
      <c r="O222" s="133" t="s">
        <v>243</v>
      </c>
      <c r="P222" s="133" t="s">
        <v>307</v>
      </c>
      <c r="Q222" s="133" t="s">
        <v>1475</v>
      </c>
      <c r="R222" s="318" t="s">
        <v>3801</v>
      </c>
      <c r="AA222" s="185" t="s">
        <v>3327</v>
      </c>
      <c r="AB222" t="s">
        <v>4620</v>
      </c>
      <c r="AH222"/>
      <c r="AI222"/>
    </row>
    <row r="223" spans="2:35">
      <c r="B223" s="182" t="str">
        <f t="shared" si="23"/>
        <v>Rodzaj Aventosu</v>
      </c>
      <c r="M223" s="175" t="s">
        <v>97</v>
      </c>
      <c r="N223" s="133" t="s">
        <v>97</v>
      </c>
      <c r="O223" s="133" t="s">
        <v>244</v>
      </c>
      <c r="P223" s="133" t="s">
        <v>1250</v>
      </c>
      <c r="Q223" s="133" t="s">
        <v>1476</v>
      </c>
      <c r="R223" s="318" t="s">
        <v>3802</v>
      </c>
      <c r="AA223" s="185" t="s">
        <v>3053</v>
      </c>
      <c r="AB223" s="185" t="s">
        <v>3053</v>
      </c>
      <c r="AH223"/>
      <c r="AI223"/>
    </row>
    <row r="224" spans="2:35">
      <c r="B224" s="182" t="str">
        <f t="shared" si="23"/>
        <v>Rodzaj prowadnika</v>
      </c>
      <c r="M224" s="175" t="s">
        <v>98</v>
      </c>
      <c r="N224" s="133" t="s">
        <v>98</v>
      </c>
      <c r="O224" s="133" t="s">
        <v>245</v>
      </c>
      <c r="P224" s="133" t="s">
        <v>308</v>
      </c>
      <c r="Q224" s="133" t="s">
        <v>1477</v>
      </c>
      <c r="R224" s="318" t="s">
        <v>3803</v>
      </c>
      <c r="AA224" s="185" t="s">
        <v>3054</v>
      </c>
      <c r="AB224" s="185" t="s">
        <v>3054</v>
      </c>
      <c r="AH224"/>
      <c r="AI224"/>
    </row>
    <row r="225" spans="2:35">
      <c r="B225" s="182" t="str">
        <f t="shared" si="23"/>
        <v>Ilość zawiasów na 1 ramkę</v>
      </c>
      <c r="M225" s="175" t="s">
        <v>2327</v>
      </c>
      <c r="N225" s="133" t="s">
        <v>184</v>
      </c>
      <c r="O225" s="133" t="s">
        <v>246</v>
      </c>
      <c r="P225" s="133" t="s">
        <v>309</v>
      </c>
      <c r="Q225" s="133" t="s">
        <v>1353</v>
      </c>
      <c r="R225" s="318" t="s">
        <v>3804</v>
      </c>
      <c r="AA225" s="185" t="s">
        <v>3055</v>
      </c>
      <c r="AB225" s="185" t="s">
        <v>3055</v>
      </c>
      <c r="AH225"/>
      <c r="AI225"/>
    </row>
    <row r="226" spans="2:35">
      <c r="B226" s="182" t="str">
        <f t="shared" si="23"/>
        <v>Podnośniki gazowe</v>
      </c>
      <c r="M226" s="175" t="s">
        <v>100</v>
      </c>
      <c r="N226" s="133" t="s">
        <v>185</v>
      </c>
      <c r="O226" s="133" t="s">
        <v>247</v>
      </c>
      <c r="P226" s="133" t="s">
        <v>1251</v>
      </c>
      <c r="Q226" s="133" t="s">
        <v>1478</v>
      </c>
      <c r="R226" s="318" t="s">
        <v>3805</v>
      </c>
      <c r="AA226" s="185" t="s">
        <v>2392</v>
      </c>
      <c r="AB226" s="185" t="s">
        <v>2392</v>
      </c>
      <c r="AH226"/>
      <c r="AI226"/>
    </row>
    <row r="227" spans="2:35">
      <c r="B227" s="182" t="str">
        <f t="shared" si="23"/>
        <v>Dostarczyć łącznie z podanymi okuciami meblowymi</v>
      </c>
      <c r="M227" s="175" t="s">
        <v>99</v>
      </c>
      <c r="N227" s="133" t="s">
        <v>186</v>
      </c>
      <c r="O227" s="133" t="s">
        <v>274</v>
      </c>
      <c r="P227" s="133" t="s">
        <v>1252</v>
      </c>
      <c r="Q227" s="133" t="s">
        <v>1354</v>
      </c>
      <c r="R227" s="318" t="s">
        <v>3806</v>
      </c>
      <c r="AA227" s="185" t="s">
        <v>1235</v>
      </c>
      <c r="AB227" s="185" t="s">
        <v>1235</v>
      </c>
      <c r="AH227"/>
      <c r="AI227"/>
    </row>
    <row r="228" spans="2:35">
      <c r="B228" s="182" t="str">
        <f t="shared" si="23"/>
        <v>Umieszczenie</v>
      </c>
      <c r="M228" s="175" t="s">
        <v>2112</v>
      </c>
      <c r="N228" s="133" t="s">
        <v>2113</v>
      </c>
      <c r="O228" s="133" t="s">
        <v>2114</v>
      </c>
      <c r="P228" s="133" t="s">
        <v>2116</v>
      </c>
      <c r="Q228" s="133" t="s">
        <v>2115</v>
      </c>
      <c r="R228" s="318" t="s">
        <v>3807</v>
      </c>
      <c r="AA228" s="185" t="s">
        <v>1422</v>
      </c>
      <c r="AB228" s="185" t="s">
        <v>1422</v>
      </c>
      <c r="AH228"/>
      <c r="AI228"/>
    </row>
    <row r="229" spans="2:35">
      <c r="B229" s="182" t="str">
        <f t="shared" si="23"/>
        <v>W górę</v>
      </c>
      <c r="M229" s="175" t="s">
        <v>111</v>
      </c>
      <c r="N229" s="133" t="s">
        <v>1134</v>
      </c>
      <c r="O229" s="133" t="s">
        <v>1132</v>
      </c>
      <c r="P229" s="133" t="s">
        <v>1133</v>
      </c>
      <c r="Q229" s="133" t="s">
        <v>1355</v>
      </c>
      <c r="R229" s="318" t="s">
        <v>3808</v>
      </c>
      <c r="AA229" s="178" t="s">
        <v>3403</v>
      </c>
      <c r="AB229" t="s">
        <v>554</v>
      </c>
      <c r="AH229"/>
      <c r="AI229"/>
    </row>
    <row r="230" spans="2:35">
      <c r="B230" s="182" t="str">
        <f t="shared" si="23"/>
        <v>W dół</v>
      </c>
      <c r="M230" s="175" t="s">
        <v>112</v>
      </c>
      <c r="N230" s="133" t="s">
        <v>112</v>
      </c>
      <c r="O230" s="133" t="s">
        <v>1305</v>
      </c>
      <c r="P230" s="133" t="s">
        <v>1135</v>
      </c>
      <c r="Q230" s="133" t="s">
        <v>916</v>
      </c>
      <c r="R230" s="318" t="s">
        <v>3809</v>
      </c>
      <c r="AA230" s="178" t="s">
        <v>3404</v>
      </c>
      <c r="AB230" t="s">
        <v>4446</v>
      </c>
      <c r="AH230"/>
      <c r="AI230"/>
    </row>
    <row r="231" spans="2:35">
      <c r="B231" s="182" t="str">
        <f t="shared" si="23"/>
        <v>W prawo</v>
      </c>
      <c r="M231" s="175" t="s">
        <v>102</v>
      </c>
      <c r="N231" s="133" t="s">
        <v>187</v>
      </c>
      <c r="O231" s="133" t="s">
        <v>248</v>
      </c>
      <c r="P231" s="133" t="s">
        <v>310</v>
      </c>
      <c r="Q231" s="133" t="s">
        <v>907</v>
      </c>
      <c r="R231" s="318" t="s">
        <v>3810</v>
      </c>
      <c r="AA231" s="178" t="s">
        <v>3405</v>
      </c>
      <c r="AB231" t="s">
        <v>4447</v>
      </c>
      <c r="AH231"/>
      <c r="AI231"/>
    </row>
    <row r="232" spans="2:35">
      <c r="B232" s="182" t="str">
        <f t="shared" si="23"/>
        <v>W lewo</v>
      </c>
      <c r="M232" s="175" t="s">
        <v>101</v>
      </c>
      <c r="N232" s="133" t="s">
        <v>188</v>
      </c>
      <c r="O232" s="133" t="s">
        <v>249</v>
      </c>
      <c r="P232" s="133" t="s">
        <v>311</v>
      </c>
      <c r="Q232" s="133" t="s">
        <v>908</v>
      </c>
      <c r="R232" s="318" t="s">
        <v>3811</v>
      </c>
      <c r="AA232" s="178" t="s">
        <v>3406</v>
      </c>
      <c r="AB232" t="s">
        <v>4568</v>
      </c>
      <c r="AH232"/>
      <c r="AI232"/>
    </row>
    <row r="233" spans="2:35">
      <c r="B233" s="182" t="str">
        <f t="shared" si="23"/>
        <v>2 sztuki (obydwie strony)</v>
      </c>
      <c r="M233" s="175" t="s">
        <v>103</v>
      </c>
      <c r="N233" s="133" t="s">
        <v>189</v>
      </c>
      <c r="O233" s="133" t="s">
        <v>250</v>
      </c>
      <c r="P233" s="133" t="s">
        <v>312</v>
      </c>
      <c r="Q233" s="133" t="s">
        <v>909</v>
      </c>
      <c r="R233" s="318" t="s">
        <v>3812</v>
      </c>
      <c r="AA233" s="178" t="s">
        <v>3407</v>
      </c>
      <c r="AB233" t="s">
        <v>4448</v>
      </c>
      <c r="AH233"/>
      <c r="AI233"/>
    </row>
    <row r="234" spans="2:35">
      <c r="B234" s="182" t="str">
        <f t="shared" si="23"/>
        <v>Rodzaj drugiej ramki</v>
      </c>
      <c r="M234" s="175" t="s">
        <v>115</v>
      </c>
      <c r="N234" s="133" t="s">
        <v>190</v>
      </c>
      <c r="O234" s="133" t="s">
        <v>273</v>
      </c>
      <c r="P234" s="133" t="s">
        <v>1253</v>
      </c>
      <c r="Q234" s="133" t="s">
        <v>1479</v>
      </c>
      <c r="R234" s="318" t="s">
        <v>3813</v>
      </c>
      <c r="AA234" s="179" t="s">
        <v>3408</v>
      </c>
      <c r="AB234" t="s">
        <v>4449</v>
      </c>
      <c r="AH234"/>
      <c r="AI234"/>
    </row>
    <row r="235" spans="2:35">
      <c r="B235" s="182" t="str">
        <f t="shared" si="23"/>
        <v>Wąska ALU ramka</v>
      </c>
      <c r="M235" s="175" t="s">
        <v>105</v>
      </c>
      <c r="N235" s="133" t="s">
        <v>191</v>
      </c>
      <c r="O235" s="133" t="s">
        <v>251</v>
      </c>
      <c r="P235" s="133" t="s">
        <v>313</v>
      </c>
      <c r="Q235" s="133" t="s">
        <v>1356</v>
      </c>
      <c r="R235" s="318" t="s">
        <v>3814</v>
      </c>
      <c r="AA235" s="179" t="s">
        <v>3409</v>
      </c>
      <c r="AB235" t="s">
        <v>4450</v>
      </c>
      <c r="AH235"/>
      <c r="AI235"/>
    </row>
    <row r="236" spans="2:35">
      <c r="B236" s="182" t="str">
        <f t="shared" ref="B236:B299" si="24">IF($D$1=1,M236,IF($D$1=2,N236,IF($D$1=3,O236,IF($D$1=4,P236,IF($D$1=5,Q236,IF($D$1=6,R236,0))))))</f>
        <v>Szeroka ALU ramka</v>
      </c>
      <c r="M236" s="175" t="s">
        <v>106</v>
      </c>
      <c r="N236" s="133" t="s">
        <v>192</v>
      </c>
      <c r="O236" s="133" t="s">
        <v>252</v>
      </c>
      <c r="P236" s="133" t="s">
        <v>314</v>
      </c>
      <c r="Q236" s="133" t="s">
        <v>1357</v>
      </c>
      <c r="R236" s="318" t="s">
        <v>3815</v>
      </c>
      <c r="AA236" s="179" t="s">
        <v>3465</v>
      </c>
      <c r="AB236" t="s">
        <v>1603</v>
      </c>
      <c r="AH236"/>
      <c r="AI236"/>
    </row>
    <row r="237" spans="2:35">
      <c r="B237" s="182" t="str">
        <f t="shared" si="24"/>
        <v>MDF grubość 16mm</v>
      </c>
      <c r="M237" s="175" t="s">
        <v>108</v>
      </c>
      <c r="N237" s="133" t="s">
        <v>193</v>
      </c>
      <c r="O237" s="133" t="s">
        <v>253</v>
      </c>
      <c r="P237" s="133" t="s">
        <v>315</v>
      </c>
      <c r="Q237" s="133" t="s">
        <v>1480</v>
      </c>
      <c r="R237" s="318" t="s">
        <v>3816</v>
      </c>
      <c r="AA237" s="179" t="s">
        <v>3410</v>
      </c>
      <c r="AB237" t="s">
        <v>4451</v>
      </c>
      <c r="AH237"/>
      <c r="AI237"/>
    </row>
    <row r="238" spans="2:35">
      <c r="B238" s="182" t="str">
        <f t="shared" si="24"/>
        <v>MDF grubość 18mm</v>
      </c>
      <c r="M238" s="175" t="s">
        <v>107</v>
      </c>
      <c r="N238" s="133" t="s">
        <v>194</v>
      </c>
      <c r="O238" s="133" t="s">
        <v>254</v>
      </c>
      <c r="P238" s="133" t="s">
        <v>316</v>
      </c>
      <c r="Q238" s="133" t="s">
        <v>1481</v>
      </c>
      <c r="R238" s="318" t="s">
        <v>3817</v>
      </c>
      <c r="AA238" s="179" t="s">
        <v>4437</v>
      </c>
      <c r="AB238" t="s">
        <v>4569</v>
      </c>
      <c r="AH238"/>
      <c r="AI238"/>
    </row>
    <row r="239" spans="2:35">
      <c r="B239" s="182" t="str">
        <f t="shared" si="24"/>
        <v>Płyta melaminowana grubość 18mm</v>
      </c>
      <c r="M239" s="175" t="s">
        <v>109</v>
      </c>
      <c r="N239" s="133" t="s">
        <v>195</v>
      </c>
      <c r="O239" s="133" t="s">
        <v>1306</v>
      </c>
      <c r="P239" s="133" t="s">
        <v>1254</v>
      </c>
      <c r="Q239" s="133" t="s">
        <v>965</v>
      </c>
      <c r="R239" s="318" t="s">
        <v>3818</v>
      </c>
      <c r="AA239" s="179" t="s">
        <v>4430</v>
      </c>
      <c r="AB239" t="s">
        <v>4443</v>
      </c>
      <c r="AH239"/>
      <c r="AI239"/>
    </row>
    <row r="240" spans="2:35">
      <c r="B240" s="182" t="str">
        <f t="shared" si="24"/>
        <v>Umieszczenie zawiasu</v>
      </c>
      <c r="M240" s="175" t="s">
        <v>110</v>
      </c>
      <c r="N240" s="133" t="s">
        <v>196</v>
      </c>
      <c r="O240" s="133" t="s">
        <v>255</v>
      </c>
      <c r="P240" s="133" t="s">
        <v>317</v>
      </c>
      <c r="Q240" s="133" t="s">
        <v>1358</v>
      </c>
      <c r="R240" s="318" t="s">
        <v>3819</v>
      </c>
      <c r="AA240" s="179" t="s">
        <v>3411</v>
      </c>
      <c r="AB240" t="s">
        <v>555</v>
      </c>
      <c r="AH240"/>
      <c r="AI240"/>
    </row>
    <row r="241" spans="2:35">
      <c r="B241" s="182" t="str">
        <f t="shared" si="24"/>
        <v>W górę</v>
      </c>
      <c r="M241" s="175" t="s">
        <v>111</v>
      </c>
      <c r="N241" s="133" t="s">
        <v>197</v>
      </c>
      <c r="O241" s="133" t="s">
        <v>1132</v>
      </c>
      <c r="P241" s="133" t="s">
        <v>1133</v>
      </c>
      <c r="Q241" s="133" t="s">
        <v>1355</v>
      </c>
      <c r="R241" s="318" t="s">
        <v>3808</v>
      </c>
      <c r="AA241" s="179" t="s">
        <v>3412</v>
      </c>
      <c r="AB241" t="s">
        <v>4570</v>
      </c>
      <c r="AH241"/>
      <c r="AI241"/>
    </row>
    <row r="242" spans="2:35">
      <c r="B242" s="182" t="str">
        <f t="shared" si="24"/>
        <v>W dół</v>
      </c>
      <c r="M242" s="175" t="s">
        <v>112</v>
      </c>
      <c r="N242" s="133" t="s">
        <v>112</v>
      </c>
      <c r="O242" s="133" t="s">
        <v>1305</v>
      </c>
      <c r="P242" s="133" t="s">
        <v>1135</v>
      </c>
      <c r="Q242" s="133" t="s">
        <v>916</v>
      </c>
      <c r="R242" s="318" t="s">
        <v>3809</v>
      </c>
      <c r="AA242" s="179" t="s">
        <v>3413</v>
      </c>
      <c r="AB242" t="s">
        <v>4571</v>
      </c>
      <c r="AH242"/>
      <c r="AI242"/>
    </row>
    <row r="243" spans="2:35">
      <c r="B243" s="182" t="str">
        <f t="shared" si="24"/>
        <v>wybierz z listy</v>
      </c>
      <c r="M243" s="175" t="s">
        <v>3572</v>
      </c>
      <c r="N243" s="133" t="s">
        <v>3573</v>
      </c>
      <c r="O243" s="133" t="s">
        <v>3574</v>
      </c>
      <c r="P243" s="133" t="s">
        <v>3575</v>
      </c>
      <c r="Q243" s="133" t="s">
        <v>3576</v>
      </c>
      <c r="R243" s="318" t="s">
        <v>3820</v>
      </c>
      <c r="AA243" s="179" t="s">
        <v>3414</v>
      </c>
      <c r="AB243" t="s">
        <v>4572</v>
      </c>
      <c r="AH243"/>
      <c r="AI243"/>
    </row>
    <row r="244" spans="2:35">
      <c r="B244" s="182" t="str">
        <f t="shared" si="24"/>
        <v>Odległość od lewej krawędzi</v>
      </c>
      <c r="M244" s="175" t="s">
        <v>4368</v>
      </c>
      <c r="N244" s="133" t="s">
        <v>4369</v>
      </c>
      <c r="O244" s="133" t="s">
        <v>4370</v>
      </c>
      <c r="P244" s="133" t="s">
        <v>4371</v>
      </c>
      <c r="Q244" s="133" t="s">
        <v>4372</v>
      </c>
      <c r="R244" s="318" t="s">
        <v>4373</v>
      </c>
      <c r="AA244" s="178" t="s">
        <v>3415</v>
      </c>
      <c r="AB244" t="s">
        <v>4573</v>
      </c>
      <c r="AH244"/>
      <c r="AI244"/>
    </row>
    <row r="245" spans="2:35">
      <c r="B245" s="182" t="str">
        <f t="shared" si="24"/>
        <v>Odległość zawiasu od krawędzi</v>
      </c>
      <c r="M245" s="175" t="s">
        <v>116</v>
      </c>
      <c r="N245" s="133" t="s">
        <v>198</v>
      </c>
      <c r="O245" s="133" t="s">
        <v>256</v>
      </c>
      <c r="P245" s="133" t="s">
        <v>318</v>
      </c>
      <c r="Q245" s="133" t="s">
        <v>1482</v>
      </c>
      <c r="R245" s="318" t="s">
        <v>3821</v>
      </c>
      <c r="AA245" s="179" t="s">
        <v>3416</v>
      </c>
      <c r="AB245" t="s">
        <v>4574</v>
      </c>
      <c r="AH245"/>
      <c r="AI245"/>
    </row>
    <row r="246" spans="2:35">
      <c r="B246" s="182" t="str">
        <f t="shared" si="24"/>
        <v>Wpisz wartość jeśli wiercenie nie ma być wykonane symetrycznie (na środku )</v>
      </c>
      <c r="M246" s="175" t="s">
        <v>117</v>
      </c>
      <c r="N246" s="133" t="s">
        <v>199</v>
      </c>
      <c r="O246" s="133" t="s">
        <v>877</v>
      </c>
      <c r="P246" s="133" t="s">
        <v>319</v>
      </c>
      <c r="Q246" s="133" t="s">
        <v>1483</v>
      </c>
      <c r="R246" s="318" t="s">
        <v>3822</v>
      </c>
      <c r="AA246" s="179" t="s">
        <v>3417</v>
      </c>
      <c r="AB246" t="s">
        <v>4575</v>
      </c>
      <c r="AH246"/>
      <c r="AI246"/>
    </row>
    <row r="247" spans="2:35">
      <c r="B247" s="182" t="str">
        <f t="shared" si="24"/>
        <v>Formularz zamówienia ramek aluminiowych</v>
      </c>
      <c r="M247" s="175" t="s">
        <v>118</v>
      </c>
      <c r="N247" s="133" t="s">
        <v>200</v>
      </c>
      <c r="O247" s="133" t="s">
        <v>257</v>
      </c>
      <c r="P247" s="133" t="s">
        <v>373</v>
      </c>
      <c r="Q247" s="133" t="s">
        <v>1484</v>
      </c>
      <c r="R247" s="318" t="s">
        <v>3823</v>
      </c>
      <c r="AA247" s="179" t="s">
        <v>3418</v>
      </c>
      <c r="AB247" t="s">
        <v>4576</v>
      </c>
      <c r="AH247"/>
      <c r="AI247"/>
    </row>
    <row r="248" spans="2:35">
      <c r="B248" s="182" t="str">
        <f t="shared" si="24"/>
        <v>Formularz należy wypełniać od góry do dołu. Po ewentualnej zmianie proszę skontrolować poprawność wprowadzonych danych.</v>
      </c>
      <c r="M248" s="175" t="s">
        <v>152</v>
      </c>
      <c r="N248" s="133" t="s">
        <v>207</v>
      </c>
      <c r="O248" s="133" t="s">
        <v>258</v>
      </c>
      <c r="P248" s="133" t="s">
        <v>1255</v>
      </c>
      <c r="Q248" s="133" t="s">
        <v>1485</v>
      </c>
      <c r="R248" s="318" t="s">
        <v>3824</v>
      </c>
      <c r="AA248" s="178" t="s">
        <v>3419</v>
      </c>
      <c r="AB248" t="s">
        <v>4577</v>
      </c>
      <c r="AH248"/>
      <c r="AI248"/>
    </row>
    <row r="249" spans="2:35">
      <c r="B249" s="182" t="str">
        <f t="shared" si="24"/>
        <v>Ceny obowiązują od 18.5.2026/Wersja 8.4</v>
      </c>
      <c r="M249" s="175" t="str">
        <f>"Ceny jsou platné od 27.1.2026/Verze "&amp;B1</f>
        <v>Ceny jsou platné od 27.1.2026/Verze 8.4</v>
      </c>
      <c r="N249" s="133" t="str">
        <f>"Ceny sú platné od  27.1.2026/Verzia "&amp;B1</f>
        <v>Ceny sú platné od  27.1.2026/Verzia 8.4</v>
      </c>
      <c r="O249" s="133" t="str">
        <f>"Ceny obowiązują od 18.5.2026/Wersja "&amp;B1</f>
        <v>Ceny obowiązują od 18.5.2026/Wersja 8.4</v>
      </c>
      <c r="P249" s="133" t="str">
        <f>"Az árak érvényesek  27.1.2026 -től/"&amp;B1&amp;" - es változat"</f>
        <v>Az árak érvényesek  27.1.2026 -től/8.4 - es változat</v>
      </c>
      <c r="Q249" s="133" t="str">
        <f>"Prices are valid from  27.1.2026/Version "&amp;B1</f>
        <v>Prices are valid from  27.1.2026/Version 8.4</v>
      </c>
      <c r="R249" s="318" t="str">
        <f>"Les prix sont valables à partir du  27.1.2026/Version "&amp;B1</f>
        <v>Les prix sont valables à partir du  27.1.2026/Version 8.4</v>
      </c>
      <c r="AA249" s="178" t="s">
        <v>4456</v>
      </c>
      <c r="AB249" t="s">
        <v>4444</v>
      </c>
      <c r="AH249"/>
      <c r="AI249"/>
    </row>
    <row r="250" spans="2:35">
      <c r="B250" s="182" t="str">
        <f t="shared" si="24"/>
        <v>Suma</v>
      </c>
      <c r="M250" s="175" t="s">
        <v>15</v>
      </c>
      <c r="N250" s="133" t="s">
        <v>201</v>
      </c>
      <c r="O250" s="133" t="s">
        <v>259</v>
      </c>
      <c r="P250" s="133" t="s">
        <v>320</v>
      </c>
      <c r="Q250" s="133" t="s">
        <v>1359</v>
      </c>
      <c r="R250" s="318" t="s">
        <v>3825</v>
      </c>
      <c r="AA250" s="178" t="s">
        <v>3420</v>
      </c>
      <c r="AB250" t="s">
        <v>4578</v>
      </c>
      <c r="AH250"/>
      <c r="AI250"/>
    </row>
    <row r="251" spans="2:35">
      <c r="B251" s="182" t="str">
        <f t="shared" si="24"/>
        <v>Klient</v>
      </c>
      <c r="M251" s="175" t="s">
        <v>120</v>
      </c>
      <c r="N251" s="133" t="s">
        <v>120</v>
      </c>
      <c r="O251" s="133" t="s">
        <v>260</v>
      </c>
      <c r="P251" s="133" t="s">
        <v>321</v>
      </c>
      <c r="Q251" s="133" t="s">
        <v>910</v>
      </c>
      <c r="R251" s="318" t="s">
        <v>3826</v>
      </c>
      <c r="AA251" s="178" t="s">
        <v>3421</v>
      </c>
      <c r="AB251" t="s">
        <v>4579</v>
      </c>
      <c r="AH251"/>
      <c r="AI251"/>
    </row>
    <row r="252" spans="2:35">
      <c r="B252" s="182" t="str">
        <f t="shared" si="24"/>
        <v>Telefon kontaktowy</v>
      </c>
      <c r="M252" s="175" t="s">
        <v>122</v>
      </c>
      <c r="N252" s="133" t="s">
        <v>202</v>
      </c>
      <c r="O252" s="133" t="s">
        <v>261</v>
      </c>
      <c r="P252" s="133" t="s">
        <v>322</v>
      </c>
      <c r="Q252" s="133" t="s">
        <v>1486</v>
      </c>
      <c r="R252" s="318" t="s">
        <v>3827</v>
      </c>
      <c r="AA252" s="178" t="s">
        <v>3422</v>
      </c>
      <c r="AB252" t="s">
        <v>4580</v>
      </c>
      <c r="AH252"/>
      <c r="AI252"/>
    </row>
    <row r="253" spans="2:35">
      <c r="B253" s="182" t="str">
        <f t="shared" si="24"/>
        <v>Adres e-mail</v>
      </c>
      <c r="M253" s="175" t="s">
        <v>123</v>
      </c>
      <c r="N253" s="133" t="s">
        <v>203</v>
      </c>
      <c r="O253" s="133" t="s">
        <v>262</v>
      </c>
      <c r="P253" s="133" t="s">
        <v>323</v>
      </c>
      <c r="Q253" s="133" t="s">
        <v>1487</v>
      </c>
      <c r="R253" s="318" t="s">
        <v>3828</v>
      </c>
      <c r="AA253" s="179" t="s">
        <v>3423</v>
      </c>
      <c r="AB253" t="s">
        <v>4581</v>
      </c>
      <c r="AH253"/>
      <c r="AI253"/>
    </row>
    <row r="254" spans="2:35">
      <c r="B254" s="182" t="str">
        <f t="shared" si="24"/>
        <v>Adres oddziału</v>
      </c>
      <c r="M254" s="175" t="s">
        <v>121</v>
      </c>
      <c r="N254" s="133" t="s">
        <v>204</v>
      </c>
      <c r="O254" s="133" t="s">
        <v>263</v>
      </c>
      <c r="P254" s="133" t="s">
        <v>324</v>
      </c>
      <c r="Q254" s="133" t="s">
        <v>1488</v>
      </c>
      <c r="R254" s="318" t="s">
        <v>3829</v>
      </c>
      <c r="AA254" s="179" t="s">
        <v>3424</v>
      </c>
      <c r="AB254" t="s">
        <v>4582</v>
      </c>
      <c r="AH254"/>
      <c r="AI254"/>
    </row>
    <row r="255" spans="2:35">
      <c r="B255" s="182" t="str">
        <f t="shared" si="24"/>
        <v>NIP</v>
      </c>
      <c r="M255" s="175" t="s">
        <v>119</v>
      </c>
      <c r="N255" s="133" t="s">
        <v>119</v>
      </c>
      <c r="O255" s="133" t="s">
        <v>264</v>
      </c>
      <c r="P255" s="133" t="s">
        <v>119</v>
      </c>
      <c r="Q255" s="133" t="s">
        <v>1360</v>
      </c>
      <c r="R255" s="318" t="s">
        <v>3830</v>
      </c>
      <c r="AA255" s="179" t="s">
        <v>3425</v>
      </c>
      <c r="AB255" t="s">
        <v>4583</v>
      </c>
      <c r="AH255"/>
      <c r="AI255"/>
    </row>
    <row r="256" spans="2:35">
      <c r="B256" s="182" t="str">
        <f t="shared" si="24"/>
        <v>Rabat na ramki</v>
      </c>
      <c r="M256" s="175" t="s">
        <v>124</v>
      </c>
      <c r="N256" s="133" t="s">
        <v>205</v>
      </c>
      <c r="O256" s="133" t="s">
        <v>265</v>
      </c>
      <c r="P256" s="133" t="s">
        <v>325</v>
      </c>
      <c r="Q256" s="133" t="s">
        <v>911</v>
      </c>
      <c r="R256" s="318" t="s">
        <v>3831</v>
      </c>
      <c r="AA256" s="179" t="s">
        <v>3426</v>
      </c>
      <c r="AB256" t="s">
        <v>4584</v>
      </c>
      <c r="AH256"/>
      <c r="AI256"/>
    </row>
    <row r="257" spans="2:35">
      <c r="B257" s="182" t="str">
        <f t="shared" si="24"/>
        <v>Rabat na okucia</v>
      </c>
      <c r="M257" s="175" t="s">
        <v>125</v>
      </c>
      <c r="N257" s="133" t="s">
        <v>206</v>
      </c>
      <c r="O257" s="133" t="s">
        <v>266</v>
      </c>
      <c r="P257" s="133" t="s">
        <v>326</v>
      </c>
      <c r="Q257" s="133" t="s">
        <v>912</v>
      </c>
      <c r="R257" s="318" t="s">
        <v>3832</v>
      </c>
      <c r="AA257" s="179" t="s">
        <v>3427</v>
      </c>
      <c r="AB257" t="s">
        <v>4585</v>
      </c>
      <c r="AH257"/>
      <c r="AI257"/>
    </row>
    <row r="258" spans="2:35">
      <c r="B258" s="182" t="str">
        <f t="shared" si="24"/>
        <v>Numer zamówienia</v>
      </c>
      <c r="M258" s="175" t="s">
        <v>145</v>
      </c>
      <c r="N258" s="133" t="s">
        <v>145</v>
      </c>
      <c r="O258" s="133" t="s">
        <v>11</v>
      </c>
      <c r="P258" s="133" t="s">
        <v>327</v>
      </c>
      <c r="Q258" s="133" t="s">
        <v>1361</v>
      </c>
      <c r="R258" s="318" t="s">
        <v>3833</v>
      </c>
      <c r="AA258" s="179" t="s">
        <v>3428</v>
      </c>
      <c r="AB258" t="s">
        <v>4586</v>
      </c>
      <c r="AH258"/>
      <c r="AI258"/>
    </row>
    <row r="259" spans="2:35">
      <c r="B259" s="182" t="str">
        <f t="shared" si="24"/>
        <v>Podgląd kolorów RAL i REF jest orientacyjny !!!</v>
      </c>
      <c r="M259" s="175" t="s">
        <v>144</v>
      </c>
      <c r="N259" s="133" t="s">
        <v>209</v>
      </c>
      <c r="O259" s="133" t="s">
        <v>878</v>
      </c>
      <c r="P259" s="133" t="s">
        <v>1256</v>
      </c>
      <c r="Q259" s="133" t="s">
        <v>1362</v>
      </c>
      <c r="R259" s="318" t="s">
        <v>3834</v>
      </c>
      <c r="AA259" s="179" t="s">
        <v>3429</v>
      </c>
      <c r="AB259" t="s">
        <v>4587</v>
      </c>
      <c r="AH259"/>
      <c r="AI259"/>
    </row>
    <row r="260" spans="2:35">
      <c r="B260" s="182" t="str">
        <f t="shared" si="24"/>
        <v>Typ okucia</v>
      </c>
      <c r="M260" s="175" t="s">
        <v>50</v>
      </c>
      <c r="N260" s="133" t="s">
        <v>208</v>
      </c>
      <c r="O260" s="133" t="s">
        <v>272</v>
      </c>
      <c r="P260" s="133" t="s">
        <v>874</v>
      </c>
      <c r="Q260" s="133" t="s">
        <v>1489</v>
      </c>
      <c r="R260" t="s">
        <v>3835</v>
      </c>
      <c r="AA260" s="179" t="s">
        <v>3430</v>
      </c>
      <c r="AB260" t="s">
        <v>4588</v>
      </c>
      <c r="AH260"/>
      <c r="AI260"/>
    </row>
    <row r="261" spans="2:35">
      <c r="B261" s="182" t="str">
        <f t="shared" si="24"/>
        <v>AVENTOS HF</v>
      </c>
      <c r="M261" s="175" t="s">
        <v>53</v>
      </c>
      <c r="N261" s="175" t="s">
        <v>53</v>
      </c>
      <c r="O261" s="133" t="s">
        <v>53</v>
      </c>
      <c r="P261" s="133" t="s">
        <v>53</v>
      </c>
      <c r="Q261" s="133" t="s">
        <v>53</v>
      </c>
      <c r="R261" s="319" t="s">
        <v>53</v>
      </c>
      <c r="AA261" s="178" t="s">
        <v>3431</v>
      </c>
      <c r="AB261" t="s">
        <v>4589</v>
      </c>
      <c r="AH261"/>
      <c r="AI261"/>
    </row>
    <row r="262" spans="2:35">
      <c r="B262" s="182" t="str">
        <f t="shared" si="24"/>
        <v>AVENTOS HK TOP</v>
      </c>
      <c r="M262" s="133" t="s">
        <v>886</v>
      </c>
      <c r="N262" s="133" t="s">
        <v>886</v>
      </c>
      <c r="O262" s="133" t="s">
        <v>886</v>
      </c>
      <c r="P262" s="133" t="s">
        <v>886</v>
      </c>
      <c r="Q262" s="133" t="s">
        <v>886</v>
      </c>
      <c r="R262" s="320" t="s">
        <v>886</v>
      </c>
      <c r="AA262" s="178" t="s">
        <v>3432</v>
      </c>
      <c r="AB262" t="s">
        <v>4590</v>
      </c>
      <c r="AH262"/>
      <c r="AI262"/>
    </row>
    <row r="263" spans="2:35">
      <c r="B263" s="182" t="str">
        <f t="shared" si="24"/>
        <v>AVENTOS HKS</v>
      </c>
      <c r="M263" s="133" t="s">
        <v>54</v>
      </c>
      <c r="N263" s="133" t="s">
        <v>54</v>
      </c>
      <c r="O263" s="133" t="s">
        <v>54</v>
      </c>
      <c r="P263" s="133" t="s">
        <v>1257</v>
      </c>
      <c r="Q263" s="133" t="s">
        <v>54</v>
      </c>
      <c r="R263" s="320" t="s">
        <v>54</v>
      </c>
      <c r="AA263" s="179" t="s">
        <v>4560</v>
      </c>
      <c r="AB263" t="s">
        <v>4591</v>
      </c>
      <c r="AH263"/>
      <c r="AI263"/>
    </row>
    <row r="264" spans="2:35">
      <c r="B264" s="182" t="str">
        <f t="shared" si="24"/>
        <v>AVENTOS HL</v>
      </c>
      <c r="M264" s="133" t="s">
        <v>55</v>
      </c>
      <c r="N264" s="133" t="s">
        <v>55</v>
      </c>
      <c r="O264" s="133" t="s">
        <v>55</v>
      </c>
      <c r="P264" s="133" t="s">
        <v>55</v>
      </c>
      <c r="Q264" s="133" t="s">
        <v>55</v>
      </c>
      <c r="R264" s="320" t="s">
        <v>55</v>
      </c>
      <c r="AA264" s="179" t="s">
        <v>4454</v>
      </c>
      <c r="AB264" t="s">
        <v>4433</v>
      </c>
      <c r="AH264"/>
      <c r="AI264"/>
    </row>
    <row r="265" spans="2:35">
      <c r="B265" s="182" t="str">
        <f t="shared" si="24"/>
        <v>AVENTOS HS</v>
      </c>
      <c r="M265" s="133" t="s">
        <v>56</v>
      </c>
      <c r="N265" s="133" t="s">
        <v>56</v>
      </c>
      <c r="O265" s="133" t="s">
        <v>56</v>
      </c>
      <c r="P265" s="133" t="s">
        <v>56</v>
      </c>
      <c r="Q265" s="133" t="s">
        <v>56</v>
      </c>
      <c r="R265" s="320" t="s">
        <v>56</v>
      </c>
      <c r="AA265" s="179" t="s">
        <v>3433</v>
      </c>
      <c r="AB265" t="s">
        <v>4592</v>
      </c>
      <c r="AH265"/>
      <c r="AI265"/>
    </row>
    <row r="266" spans="2:35">
      <c r="B266" s="182" t="str">
        <f t="shared" si="24"/>
        <v>AVENTOS HK-XS</v>
      </c>
      <c r="M266" s="133" t="s">
        <v>568</v>
      </c>
      <c r="N266" s="133" t="s">
        <v>568</v>
      </c>
      <c r="O266" s="133" t="s">
        <v>568</v>
      </c>
      <c r="P266" s="133" t="s">
        <v>568</v>
      </c>
      <c r="Q266" s="133" t="s">
        <v>568</v>
      </c>
      <c r="R266" s="320" t="s">
        <v>568</v>
      </c>
      <c r="AA266" s="179" t="s">
        <v>3434</v>
      </c>
      <c r="AB266" t="s">
        <v>556</v>
      </c>
      <c r="AH266"/>
      <c r="AI266"/>
    </row>
    <row r="267" spans="2:35">
      <c r="B267" s="182" t="str">
        <f t="shared" si="24"/>
        <v>AVENTOS HK-XS TIP-ON</v>
      </c>
      <c r="M267" s="133" t="s">
        <v>582</v>
      </c>
      <c r="N267" s="133" t="s">
        <v>582</v>
      </c>
      <c r="O267" s="133" t="s">
        <v>582</v>
      </c>
      <c r="P267" s="133" t="s">
        <v>582</v>
      </c>
      <c r="Q267" s="133" t="s">
        <v>582</v>
      </c>
      <c r="R267" s="320" t="s">
        <v>582</v>
      </c>
      <c r="AA267" s="179" t="s">
        <v>3435</v>
      </c>
      <c r="AB267" t="s">
        <v>4593</v>
      </c>
      <c r="AH267"/>
      <c r="AI267"/>
    </row>
    <row r="268" spans="2:35">
      <c r="B268" s="182" t="str">
        <f t="shared" si="24"/>
        <v>FGV</v>
      </c>
      <c r="M268" s="133" t="s">
        <v>1</v>
      </c>
      <c r="N268" s="133" t="s">
        <v>1</v>
      </c>
      <c r="O268" s="133" t="s">
        <v>1</v>
      </c>
      <c r="P268" s="133" t="s">
        <v>1</v>
      </c>
      <c r="Q268" s="133" t="s">
        <v>1</v>
      </c>
      <c r="R268" s="320" t="s">
        <v>1</v>
      </c>
      <c r="AA268" s="178" t="s">
        <v>3436</v>
      </c>
      <c r="AB268" t="s">
        <v>4594</v>
      </c>
    </row>
    <row r="269" spans="2:35">
      <c r="B269" s="182" t="str">
        <f t="shared" si="24"/>
        <v>BLUM</v>
      </c>
      <c r="M269" s="133" t="s">
        <v>2</v>
      </c>
      <c r="N269" s="133" t="s">
        <v>2</v>
      </c>
      <c r="O269" s="133" t="s">
        <v>2</v>
      </c>
      <c r="P269" s="133" t="s">
        <v>2</v>
      </c>
      <c r="Q269" s="133" t="s">
        <v>2</v>
      </c>
      <c r="R269" s="320" t="s">
        <v>2</v>
      </c>
      <c r="AA269" s="179" t="s">
        <v>4457</v>
      </c>
      <c r="AB269" t="s">
        <v>4445</v>
      </c>
    </row>
    <row r="270" spans="2:35">
      <c r="B270" s="182" t="str">
        <f t="shared" si="24"/>
        <v>STRONG  bez tłumienia</v>
      </c>
      <c r="M270" s="133" t="s">
        <v>638</v>
      </c>
      <c r="N270" s="133" t="s">
        <v>848</v>
      </c>
      <c r="O270" s="133" t="s">
        <v>849</v>
      </c>
      <c r="P270" s="133" t="s">
        <v>850</v>
      </c>
      <c r="Q270" s="133" t="s">
        <v>1490</v>
      </c>
      <c r="R270" s="318" t="s">
        <v>3836</v>
      </c>
      <c r="AA270" s="178" t="s">
        <v>3437</v>
      </c>
      <c r="AB270" t="s">
        <v>4595</v>
      </c>
    </row>
    <row r="271" spans="2:35">
      <c r="B271" s="182" t="str">
        <f t="shared" si="24"/>
        <v>HETTICH</v>
      </c>
      <c r="M271" s="133" t="s">
        <v>567</v>
      </c>
      <c r="N271" s="133" t="s">
        <v>567</v>
      </c>
      <c r="O271" s="133" t="s">
        <v>567</v>
      </c>
      <c r="P271" s="133" t="s">
        <v>567</v>
      </c>
      <c r="Q271" s="133" t="s">
        <v>567</v>
      </c>
      <c r="R271" s="320" t="s">
        <v>567</v>
      </c>
      <c r="AA271" s="178" t="s">
        <v>3438</v>
      </c>
      <c r="AB271" t="s">
        <v>4596</v>
      </c>
    </row>
    <row r="272" spans="2:35">
      <c r="B272" s="182" t="str">
        <f t="shared" si="24"/>
        <v>Wypełnij jedynie w przypadku, że wiercenie nie będzie symetryczne w stosunku do środka</v>
      </c>
      <c r="M272" s="175" t="s">
        <v>271</v>
      </c>
      <c r="N272" s="133" t="s">
        <v>342</v>
      </c>
      <c r="O272" s="133" t="s">
        <v>346</v>
      </c>
      <c r="P272" s="133" t="s">
        <v>351</v>
      </c>
      <c r="Q272" s="133" t="s">
        <v>1483</v>
      </c>
      <c r="R272" s="318" t="s">
        <v>3822</v>
      </c>
      <c r="AA272" s="178" t="s">
        <v>4565</v>
      </c>
      <c r="AB272" t="s">
        <v>4597</v>
      </c>
    </row>
    <row r="273" spans="2:28">
      <c r="B273" s="182" t="str">
        <f t="shared" si="24"/>
        <v>Ramki przesuwne</v>
      </c>
      <c r="M273" s="175" t="s">
        <v>7</v>
      </c>
      <c r="N273" s="133" t="s">
        <v>343</v>
      </c>
      <c r="O273" s="133" t="s">
        <v>506</v>
      </c>
      <c r="P273" s="133" t="s">
        <v>507</v>
      </c>
      <c r="Q273" s="133" t="s">
        <v>913</v>
      </c>
      <c r="R273" s="318" t="s">
        <v>3837</v>
      </c>
      <c r="AA273" s="178" t="s">
        <v>3439</v>
      </c>
      <c r="AB273" t="s">
        <v>4598</v>
      </c>
    </row>
    <row r="274" spans="2:28">
      <c r="B274" s="182" t="str">
        <f t="shared" si="24"/>
        <v xml:space="preserve">Standardowo zamówienie dostarczane jest zawsze łącznie z okuciem i listwą torową. </v>
      </c>
      <c r="M274" s="175" t="s">
        <v>148</v>
      </c>
      <c r="N274" s="133" t="s">
        <v>336</v>
      </c>
      <c r="O274" s="133" t="s">
        <v>374</v>
      </c>
      <c r="P274" s="133" t="s">
        <v>1258</v>
      </c>
      <c r="Q274" s="133" t="s">
        <v>1491</v>
      </c>
      <c r="R274" s="318" t="s">
        <v>3838</v>
      </c>
      <c r="AA274" s="178" t="s">
        <v>3440</v>
      </c>
      <c r="AB274" t="s">
        <v>4599</v>
      </c>
    </row>
    <row r="275" spans="2:28">
      <c r="B275" s="182" t="str">
        <f t="shared" si="24"/>
        <v>Wewnętrzne rozmiary szafki (mm)</v>
      </c>
      <c r="M275" s="175" t="s">
        <v>339</v>
      </c>
      <c r="N275" s="133" t="s">
        <v>337</v>
      </c>
      <c r="O275" s="133" t="s">
        <v>347</v>
      </c>
      <c r="P275" s="133" t="s">
        <v>352</v>
      </c>
      <c r="Q275" s="133" t="s">
        <v>1363</v>
      </c>
      <c r="R275" s="318" t="s">
        <v>3839</v>
      </c>
      <c r="AA275" s="178" t="s">
        <v>3441</v>
      </c>
      <c r="AB275" t="s">
        <v>4600</v>
      </c>
    </row>
    <row r="276" spans="2:28">
      <c r="B276" s="182" t="str">
        <f t="shared" si="24"/>
        <v xml:space="preserve">Ilość drzwi </v>
      </c>
      <c r="M276" s="175" t="s">
        <v>147</v>
      </c>
      <c r="N276" s="133" t="s">
        <v>338</v>
      </c>
      <c r="O276" s="133" t="s">
        <v>1307</v>
      </c>
      <c r="P276" s="133" t="s">
        <v>353</v>
      </c>
      <c r="Q276" s="133" t="s">
        <v>914</v>
      </c>
      <c r="R276" s="318" t="s">
        <v>3840</v>
      </c>
      <c r="AA276" s="178" t="s">
        <v>3442</v>
      </c>
      <c r="AB276" t="s">
        <v>4601</v>
      </c>
    </row>
    <row r="277" spans="2:28">
      <c r="B277" s="182" t="str">
        <f t="shared" si="24"/>
        <v>Standardowe prześwity drzwi</v>
      </c>
      <c r="M277" s="175" t="s">
        <v>461</v>
      </c>
      <c r="N277" s="155" t="s">
        <v>340</v>
      </c>
      <c r="O277" s="133" t="s">
        <v>462</v>
      </c>
      <c r="P277" s="133" t="s">
        <v>1259</v>
      </c>
      <c r="Q277" s="133" t="s">
        <v>1364</v>
      </c>
      <c r="R277" s="318" t="s">
        <v>3841</v>
      </c>
      <c r="AA277" s="178" t="s">
        <v>3443</v>
      </c>
      <c r="AB277" t="s">
        <v>4602</v>
      </c>
    </row>
    <row r="278" spans="2:28">
      <c r="B278" s="182" t="str">
        <f t="shared" si="24"/>
        <v>kolor</v>
      </c>
      <c r="M278" s="175" t="s">
        <v>126</v>
      </c>
      <c r="N278" s="133" t="s">
        <v>341</v>
      </c>
      <c r="O278" s="133" t="s">
        <v>348</v>
      </c>
      <c r="P278" s="133" t="s">
        <v>354</v>
      </c>
      <c r="Q278" s="133" t="s">
        <v>1365</v>
      </c>
      <c r="R278" s="318" t="s">
        <v>3842</v>
      </c>
      <c r="AA278" s="178" t="s">
        <v>3444</v>
      </c>
      <c r="AB278" t="s">
        <v>4603</v>
      </c>
    </row>
    <row r="279" spans="2:28">
      <c r="B279" s="182" t="str">
        <f t="shared" si="24"/>
        <v>Zamówienie ALU</v>
      </c>
      <c r="M279" s="175" t="s">
        <v>334</v>
      </c>
      <c r="N279" s="133" t="s">
        <v>334</v>
      </c>
      <c r="O279" s="133" t="s">
        <v>349</v>
      </c>
      <c r="P279" s="133" t="s">
        <v>355</v>
      </c>
      <c r="Q279" s="133" t="s">
        <v>1366</v>
      </c>
      <c r="R279" s="318" t="s">
        <v>3843</v>
      </c>
      <c r="AA279" s="178" t="s">
        <v>3445</v>
      </c>
      <c r="AB279" t="s">
        <v>4604</v>
      </c>
    </row>
    <row r="280" spans="2:28">
      <c r="B280" s="182" t="str">
        <f t="shared" si="24"/>
        <v>Ramki przesuwne</v>
      </c>
      <c r="M280" s="175" t="s">
        <v>7</v>
      </c>
      <c r="N280" s="133" t="s">
        <v>343</v>
      </c>
      <c r="O280" s="133" t="s">
        <v>506</v>
      </c>
      <c r="P280" s="133" t="s">
        <v>507</v>
      </c>
      <c r="Q280" s="133" t="s">
        <v>913</v>
      </c>
      <c r="R280" s="318" t="s">
        <v>3837</v>
      </c>
      <c r="AA280" s="178" t="s">
        <v>3446</v>
      </c>
      <c r="AB280" t="s">
        <v>4605</v>
      </c>
    </row>
    <row r="281" spans="2:28">
      <c r="B281" s="182" t="str">
        <f t="shared" si="24"/>
        <v>Kolory LACOBEL i MATELAC</v>
      </c>
      <c r="M281" s="175" t="s">
        <v>335</v>
      </c>
      <c r="N281" s="133" t="s">
        <v>344</v>
      </c>
      <c r="O281" s="133" t="s">
        <v>350</v>
      </c>
      <c r="P281" s="133" t="s">
        <v>356</v>
      </c>
      <c r="Q281" s="133" t="s">
        <v>1492</v>
      </c>
      <c r="R281" s="318" t="s">
        <v>3844</v>
      </c>
      <c r="AA281" s="178" t="s">
        <v>3447</v>
      </c>
      <c r="AB281" t="s">
        <v>4606</v>
      </c>
    </row>
    <row r="282" spans="2:28">
      <c r="B282" s="182" t="str">
        <f t="shared" si="24"/>
        <v>20L3200</v>
      </c>
      <c r="M282" s="195" t="s">
        <v>357</v>
      </c>
      <c r="N282" s="195" t="s">
        <v>357</v>
      </c>
      <c r="O282" s="133" t="s">
        <v>357</v>
      </c>
      <c r="P282" s="133" t="s">
        <v>357</v>
      </c>
      <c r="Q282" s="133" t="s">
        <v>357</v>
      </c>
      <c r="R282" s="321" t="s">
        <v>357</v>
      </c>
      <c r="AA282" s="177" t="s">
        <v>3448</v>
      </c>
      <c r="AB282" t="s">
        <v>4607</v>
      </c>
    </row>
    <row r="283" spans="2:28">
      <c r="B283" s="182" t="str">
        <f t="shared" si="24"/>
        <v>20L3500</v>
      </c>
      <c r="M283" s="195" t="s">
        <v>358</v>
      </c>
      <c r="N283" s="195" t="s">
        <v>358</v>
      </c>
      <c r="O283" s="133" t="s">
        <v>358</v>
      </c>
      <c r="P283" s="133" t="s">
        <v>358</v>
      </c>
      <c r="Q283" s="133" t="s">
        <v>358</v>
      </c>
      <c r="R283" s="321" t="s">
        <v>358</v>
      </c>
      <c r="AA283" s="178" t="s">
        <v>4398</v>
      </c>
      <c r="AB283" t="s">
        <v>4418</v>
      </c>
    </row>
    <row r="284" spans="2:28">
      <c r="B284" s="182" t="str">
        <f t="shared" si="24"/>
        <v>20L3800</v>
      </c>
      <c r="M284" s="195" t="s">
        <v>359</v>
      </c>
      <c r="N284" s="195" t="s">
        <v>359</v>
      </c>
      <c r="O284" s="133" t="s">
        <v>359</v>
      </c>
      <c r="P284" s="133" t="s">
        <v>359</v>
      </c>
      <c r="Q284" s="133" t="s">
        <v>359</v>
      </c>
      <c r="R284" s="321" t="s">
        <v>359</v>
      </c>
      <c r="AA284" s="178" t="s">
        <v>4404</v>
      </c>
      <c r="AB284" t="s">
        <v>4608</v>
      </c>
    </row>
    <row r="285" spans="2:28">
      <c r="B285" s="182" t="str">
        <f t="shared" si="24"/>
        <v>20L3900</v>
      </c>
      <c r="M285" s="195" t="s">
        <v>360</v>
      </c>
      <c r="N285" s="195" t="s">
        <v>360</v>
      </c>
      <c r="O285" s="133" t="s">
        <v>360</v>
      </c>
      <c r="P285" s="133" t="s">
        <v>360</v>
      </c>
      <c r="Q285" s="133" t="s">
        <v>360</v>
      </c>
      <c r="R285" s="321" t="s">
        <v>360</v>
      </c>
      <c r="AA285" s="179" t="s">
        <v>4423</v>
      </c>
      <c r="AB285" t="s">
        <v>4609</v>
      </c>
    </row>
    <row r="286" spans="2:28">
      <c r="B286" s="182" t="str">
        <f t="shared" si="24"/>
        <v>Rodzaj ramienia</v>
      </c>
      <c r="M286" s="195" t="s">
        <v>361</v>
      </c>
      <c r="N286" s="195" t="s">
        <v>364</v>
      </c>
      <c r="O286" s="133" t="s">
        <v>365</v>
      </c>
      <c r="P286" s="133" t="s">
        <v>366</v>
      </c>
      <c r="Q286" s="133" t="s">
        <v>1493</v>
      </c>
      <c r="R286" s="318" t="s">
        <v>3845</v>
      </c>
      <c r="AA286" s="178" t="s">
        <v>4409</v>
      </c>
      <c r="AB286" t="s">
        <v>4419</v>
      </c>
    </row>
    <row r="287" spans="2:28">
      <c r="B287" s="182" t="str">
        <f t="shared" si="24"/>
        <v>Waga uchwytu (g)</v>
      </c>
      <c r="M287" s="195" t="s">
        <v>362</v>
      </c>
      <c r="N287" s="195" t="s">
        <v>367</v>
      </c>
      <c r="O287" s="133" t="s">
        <v>368</v>
      </c>
      <c r="P287" s="133" t="s">
        <v>369</v>
      </c>
      <c r="Q287" s="133" t="s">
        <v>915</v>
      </c>
      <c r="R287" s="318" t="s">
        <v>3846</v>
      </c>
      <c r="AA287" s="178" t="s">
        <v>4415</v>
      </c>
      <c r="AB287" t="s">
        <v>4420</v>
      </c>
    </row>
    <row r="288" spans="2:28">
      <c r="B288" s="182" t="str">
        <f t="shared" si="24"/>
        <v>Rodzaje profili</v>
      </c>
      <c r="M288" s="195" t="s">
        <v>363</v>
      </c>
      <c r="N288" s="133" t="s">
        <v>370</v>
      </c>
      <c r="O288" s="133" t="s">
        <v>371</v>
      </c>
      <c r="P288" s="133" t="s">
        <v>372</v>
      </c>
      <c r="Q288" s="133" t="s">
        <v>1494</v>
      </c>
      <c r="R288" s="318" t="s">
        <v>3847</v>
      </c>
      <c r="AA288" s="178" t="s">
        <v>4468</v>
      </c>
      <c r="AB288" t="s">
        <v>4610</v>
      </c>
    </row>
    <row r="289" spans="2:28">
      <c r="B289" s="182" t="str">
        <f t="shared" si="24"/>
        <v>AVENTOS HF Servo Drive</v>
      </c>
      <c r="M289" s="175" t="s">
        <v>409</v>
      </c>
      <c r="N289" s="175" t="s">
        <v>409</v>
      </c>
      <c r="O289" s="133" t="s">
        <v>409</v>
      </c>
      <c r="P289" s="133" t="s">
        <v>409</v>
      </c>
      <c r="Q289" s="133" t="s">
        <v>409</v>
      </c>
      <c r="R289" s="319" t="s">
        <v>409</v>
      </c>
      <c r="AA289" s="178" t="s">
        <v>4471</v>
      </c>
      <c r="AB289" t="s">
        <v>4611</v>
      </c>
    </row>
    <row r="290" spans="2:28">
      <c r="B290" s="182" t="str">
        <f t="shared" si="24"/>
        <v>AVENTOS HK TOP TIP ON</v>
      </c>
      <c r="M290" s="175" t="s">
        <v>888</v>
      </c>
      <c r="N290" s="175" t="s">
        <v>888</v>
      </c>
      <c r="O290" s="133" t="s">
        <v>888</v>
      </c>
      <c r="P290" s="133" t="s">
        <v>888</v>
      </c>
      <c r="Q290" s="133" t="s">
        <v>888</v>
      </c>
      <c r="R290" s="319" t="s">
        <v>888</v>
      </c>
      <c r="AA290" s="178" t="s">
        <v>4469</v>
      </c>
      <c r="AB290" t="s">
        <v>4612</v>
      </c>
    </row>
    <row r="291" spans="2:28">
      <c r="B291" s="182" t="str">
        <f t="shared" si="24"/>
        <v>AVENTOS HKS TIP ON</v>
      </c>
      <c r="M291" s="175" t="s">
        <v>410</v>
      </c>
      <c r="N291" s="175" t="s">
        <v>410</v>
      </c>
      <c r="O291" s="133" t="s">
        <v>410</v>
      </c>
      <c r="P291" s="133" t="s">
        <v>1260</v>
      </c>
      <c r="Q291" s="133" t="s">
        <v>410</v>
      </c>
      <c r="R291" s="319" t="s">
        <v>410</v>
      </c>
      <c r="AA291" s="178" t="s">
        <v>4484</v>
      </c>
      <c r="AB291" t="s">
        <v>4613</v>
      </c>
    </row>
    <row r="292" spans="2:28">
      <c r="B292" s="182" t="str">
        <f t="shared" si="24"/>
        <v>AVENTOS HK TOP Servo Drive</v>
      </c>
      <c r="M292" s="175" t="s">
        <v>887</v>
      </c>
      <c r="N292" s="175" t="s">
        <v>887</v>
      </c>
      <c r="O292" s="133" t="s">
        <v>887</v>
      </c>
      <c r="P292" s="133" t="s">
        <v>887</v>
      </c>
      <c r="Q292" s="133" t="s">
        <v>887</v>
      </c>
      <c r="R292" s="319" t="s">
        <v>887</v>
      </c>
      <c r="AA292" s="178" t="s">
        <v>4483</v>
      </c>
      <c r="AB292" t="s">
        <v>4614</v>
      </c>
    </row>
    <row r="293" spans="2:28">
      <c r="B293" s="182" t="str">
        <f t="shared" si="24"/>
        <v>AVENTOS HL Servo Drive</v>
      </c>
      <c r="M293" s="175" t="s">
        <v>411</v>
      </c>
      <c r="N293" s="175" t="s">
        <v>411</v>
      </c>
      <c r="O293" s="133" t="s">
        <v>411</v>
      </c>
      <c r="P293" s="133" t="s">
        <v>411</v>
      </c>
      <c r="Q293" s="133" t="s">
        <v>411</v>
      </c>
      <c r="R293" s="319" t="s">
        <v>411</v>
      </c>
      <c r="AA293" s="34" t="s">
        <v>3449</v>
      </c>
      <c r="AB293" t="s">
        <v>4615</v>
      </c>
    </row>
    <row r="294" spans="2:28">
      <c r="B294" s="182" t="str">
        <f t="shared" si="24"/>
        <v>AVENTOS HS Servo Drive</v>
      </c>
      <c r="M294" s="175" t="s">
        <v>412</v>
      </c>
      <c r="N294" s="175" t="s">
        <v>412</v>
      </c>
      <c r="O294" s="133" t="s">
        <v>412</v>
      </c>
      <c r="P294" s="133" t="s">
        <v>412</v>
      </c>
      <c r="Q294" s="133" t="s">
        <v>412</v>
      </c>
      <c r="R294" s="319" t="s">
        <v>412</v>
      </c>
      <c r="AA294" s="34" t="s">
        <v>3450</v>
      </c>
      <c r="AB294" t="s">
        <v>4616</v>
      </c>
    </row>
    <row r="295" spans="2:28">
      <c r="B295" s="182" t="str">
        <f t="shared" si="24"/>
        <v>Dolne</v>
      </c>
      <c r="M295" s="175" t="s">
        <v>414</v>
      </c>
      <c r="N295" s="133" t="s">
        <v>426</v>
      </c>
      <c r="O295" s="133" t="s">
        <v>427</v>
      </c>
      <c r="P295" s="133" t="s">
        <v>428</v>
      </c>
      <c r="Q295" s="133" t="s">
        <v>1367</v>
      </c>
      <c r="R295" s="318" t="s">
        <v>3848</v>
      </c>
      <c r="AA295" s="185" t="s">
        <v>3451</v>
      </c>
      <c r="AB295" t="s">
        <v>4617</v>
      </c>
    </row>
    <row r="296" spans="2:28">
      <c r="B296" s="182" t="str">
        <f t="shared" si="24"/>
        <v>Minimalna odległość umieszczenia zawiasu</v>
      </c>
      <c r="M296" s="195" t="s">
        <v>430</v>
      </c>
      <c r="N296" s="133" t="s">
        <v>473</v>
      </c>
      <c r="O296" s="133" t="s">
        <v>483</v>
      </c>
      <c r="P296" s="133" t="s">
        <v>484</v>
      </c>
      <c r="Q296" s="133" t="s">
        <v>1495</v>
      </c>
      <c r="R296" s="318" t="s">
        <v>3849</v>
      </c>
      <c r="AA296" s="185" t="s">
        <v>3452</v>
      </c>
      <c r="AB296" t="s">
        <v>4618</v>
      </c>
    </row>
    <row r="297" spans="2:28">
      <c r="B297" s="182" t="str">
        <f t="shared" si="24"/>
        <v>Nakładany ze zintegrowanym Blumotionem</v>
      </c>
      <c r="M297" s="175" t="s">
        <v>431</v>
      </c>
      <c r="N297" s="133" t="s">
        <v>474</v>
      </c>
      <c r="O297" s="133" t="s">
        <v>1308</v>
      </c>
      <c r="P297" s="133" t="s">
        <v>485</v>
      </c>
      <c r="Q297" s="133" t="s">
        <v>1496</v>
      </c>
      <c r="R297" s="318" t="s">
        <v>3850</v>
      </c>
      <c r="AA297" s="185" t="s">
        <v>3453</v>
      </c>
      <c r="AB297" t="s">
        <v>4619</v>
      </c>
    </row>
    <row r="298" spans="2:28">
      <c r="B298" s="182" t="str">
        <f t="shared" si="24"/>
        <v>Standardowe wiercenia pod wszystkie zawiasy w Aventosie HF wynosi 100mm od krawędzi.</v>
      </c>
      <c r="M298" s="193" t="s">
        <v>466</v>
      </c>
      <c r="N298" s="133" t="s">
        <v>475</v>
      </c>
      <c r="O298" s="133" t="s">
        <v>879</v>
      </c>
      <c r="P298" s="133" t="s">
        <v>1261</v>
      </c>
      <c r="Q298" s="133" t="s">
        <v>1368</v>
      </c>
      <c r="R298" s="318" t="s">
        <v>3851</v>
      </c>
      <c r="AA298" s="185" t="s">
        <v>3454</v>
      </c>
      <c r="AB298" t="s">
        <v>4620</v>
      </c>
    </row>
    <row r="299" spans="2:28">
      <c r="B299" s="182" t="str">
        <f t="shared" si="24"/>
        <v xml:space="preserve">Standardowa średnica otworów dla uchwytów jest w szkle 7 mm, a w ramce 5 mm (opakowanie zawiera podkładki) </v>
      </c>
      <c r="M299" s="175" t="s">
        <v>435</v>
      </c>
      <c r="N299" s="133" t="s">
        <v>476</v>
      </c>
      <c r="O299" s="133" t="s">
        <v>486</v>
      </c>
      <c r="P299" s="133" t="s">
        <v>487</v>
      </c>
      <c r="Q299" s="133" t="s">
        <v>1369</v>
      </c>
      <c r="R299" s="318" t="s">
        <v>3852</v>
      </c>
      <c r="AA299" s="181" t="s">
        <v>2394</v>
      </c>
      <c r="AB299" s="185" t="s">
        <v>3053</v>
      </c>
    </row>
    <row r="300" spans="2:28">
      <c r="B300" s="182" t="str">
        <f t="shared" ref="B300:B363" si="25">IF($D$1=1,M300,IF($D$1=2,N300,IF($D$1=3,O300,IF($D$1=4,P300,IF($D$1=5,Q300,IF($D$1=6,R300,0))))))</f>
        <v>Jeżeli Państwa wymagania są inne niż powyżej, należy zapisać je w notatce.</v>
      </c>
      <c r="M300" s="175" t="s">
        <v>436</v>
      </c>
      <c r="N300" s="133" t="s">
        <v>477</v>
      </c>
      <c r="O300" s="133" t="s">
        <v>488</v>
      </c>
      <c r="P300" s="133" t="s">
        <v>489</v>
      </c>
      <c r="Q300" s="133" t="s">
        <v>1370</v>
      </c>
      <c r="R300" s="318" t="s">
        <v>3853</v>
      </c>
      <c r="AA300" s="181" t="s">
        <v>1232</v>
      </c>
      <c r="AB300" s="185" t="s">
        <v>3054</v>
      </c>
    </row>
    <row r="301" spans="2:28">
      <c r="B301" s="182" t="str">
        <f t="shared" si="25"/>
        <v>W przypadku niektórych typów uchwytów gwinty do wkrętów są wpuszczone i należy zastosować odpowiednie podkładki dystansowe.</v>
      </c>
      <c r="M301" s="175" t="s">
        <v>440</v>
      </c>
      <c r="N301" s="133" t="s">
        <v>478</v>
      </c>
      <c r="O301" s="133" t="s">
        <v>1309</v>
      </c>
      <c r="P301" s="133" t="s">
        <v>873</v>
      </c>
      <c r="Q301" s="133" t="s">
        <v>1497</v>
      </c>
      <c r="R301" s="318" t="s">
        <v>3854</v>
      </c>
      <c r="AA301" s="181" t="s">
        <v>2395</v>
      </c>
      <c r="AB301" s="185" t="s">
        <v>3055</v>
      </c>
    </row>
    <row r="302" spans="2:28">
      <c r="B302" s="182" t="str">
        <f t="shared" si="25"/>
        <v>Reklamacja nie będzie uwzględniana w przypadku, gdy ramka została już zamontowana..</v>
      </c>
      <c r="M302" s="175" t="s">
        <v>437</v>
      </c>
      <c r="N302" s="133" t="s">
        <v>479</v>
      </c>
      <c r="O302" s="133" t="s">
        <v>3498</v>
      </c>
      <c r="P302" s="133" t="s">
        <v>490</v>
      </c>
      <c r="Q302" s="133" t="s">
        <v>1498</v>
      </c>
      <c r="R302" s="318" t="s">
        <v>3855</v>
      </c>
      <c r="AA302" s="181" t="s">
        <v>2396</v>
      </c>
      <c r="AB302" s="185" t="s">
        <v>2392</v>
      </c>
    </row>
    <row r="303" spans="2:28">
      <c r="B303" s="182" t="str">
        <f t="shared" si="25"/>
        <v>Do zamocowania okuć do ramki aluminiowej należy stosować specjalnie do tego przeznaczone wkręty (np. kod 13681)</v>
      </c>
      <c r="M303" s="175" t="s">
        <v>438</v>
      </c>
      <c r="N303" s="133" t="s">
        <v>480</v>
      </c>
      <c r="O303" s="133" t="s">
        <v>880</v>
      </c>
      <c r="P303" s="133" t="s">
        <v>491</v>
      </c>
      <c r="Q303" s="133" t="s">
        <v>1499</v>
      </c>
      <c r="R303" s="318" t="s">
        <v>3856</v>
      </c>
      <c r="AA303" s="181" t="s">
        <v>1236</v>
      </c>
      <c r="AB303" s="185" t="s">
        <v>1235</v>
      </c>
    </row>
    <row r="304" spans="2:28">
      <c r="B304" s="182" t="str">
        <f t="shared" si="25"/>
        <v>Zawsze korzystaj z aktualnej wersji formularza, który jest umieszczony na naszej stronie web.</v>
      </c>
      <c r="M304" s="175" t="s">
        <v>2644</v>
      </c>
      <c r="N304" s="133" t="s">
        <v>481</v>
      </c>
      <c r="O304" s="133" t="s">
        <v>3493</v>
      </c>
      <c r="P304" s="133" t="s">
        <v>1262</v>
      </c>
      <c r="Q304" s="133" t="s">
        <v>1500</v>
      </c>
      <c r="R304" s="318" t="s">
        <v>3857</v>
      </c>
      <c r="AA304" s="181" t="s">
        <v>1423</v>
      </c>
      <c r="AB304" s="185" t="s">
        <v>1422</v>
      </c>
    </row>
    <row r="305" spans="2:28">
      <c r="B305" s="182" t="str">
        <f t="shared" si="25"/>
        <v>Szczelina między szprosami musi wynosić co najmniej 100 mm.</v>
      </c>
      <c r="M305" s="175" t="s">
        <v>1203</v>
      </c>
      <c r="N305" s="133" t="s">
        <v>1205</v>
      </c>
      <c r="O305" s="133" t="s">
        <v>1310</v>
      </c>
      <c r="P305" s="133" t="s">
        <v>1204</v>
      </c>
      <c r="Q305" s="133" t="s">
        <v>1501</v>
      </c>
      <c r="R305" s="318" t="s">
        <v>3858</v>
      </c>
      <c r="AA305" s="202" t="s">
        <v>3041</v>
      </c>
      <c r="AB305" t="s">
        <v>554</v>
      </c>
    </row>
    <row r="306" spans="2:28">
      <c r="B306" s="182" t="str">
        <f t="shared" si="25"/>
        <v>W jednym formularzu możemy wybrać różne rodzaje i wymiary ramek. Przed odesłaniem zamówienia należy sprawdzić poprawność wprowadzonych parametrów.</v>
      </c>
      <c r="M306" s="175" t="s">
        <v>439</v>
      </c>
      <c r="N306" s="133" t="s">
        <v>492</v>
      </c>
      <c r="O306" s="133" t="s">
        <v>881</v>
      </c>
      <c r="P306" s="133" t="s">
        <v>493</v>
      </c>
      <c r="Q306" s="133" t="s">
        <v>1502</v>
      </c>
      <c r="R306" s="318" t="s">
        <v>3859</v>
      </c>
      <c r="AA306" s="202" t="s">
        <v>3097</v>
      </c>
      <c r="AB306" t="s">
        <v>4446</v>
      </c>
    </row>
    <row r="307" spans="2:28">
      <c r="B307" s="182" t="str">
        <f t="shared" si="25"/>
        <v>Formularz składa się z kilku stron, które można przełączać w dolnej części.</v>
      </c>
      <c r="M307" s="175" t="s">
        <v>441</v>
      </c>
      <c r="N307" s="133" t="s">
        <v>494</v>
      </c>
      <c r="O307" s="133" t="s">
        <v>495</v>
      </c>
      <c r="P307" s="133" t="s">
        <v>496</v>
      </c>
      <c r="Q307" s="133" t="s">
        <v>1503</v>
      </c>
      <c r="R307" s="318" t="s">
        <v>3860</v>
      </c>
      <c r="AA307" s="202" t="s">
        <v>3098</v>
      </c>
      <c r="AB307" t="s">
        <v>4447</v>
      </c>
    </row>
    <row r="308" spans="2:28">
      <c r="B308" s="182" t="str">
        <f t="shared" si="25"/>
        <v>Wpisz proszę dane kontaktowe i kliknij w odpowiednie okienko poniżej.</v>
      </c>
      <c r="M308" s="175" t="s">
        <v>550</v>
      </c>
      <c r="N308" s="133" t="s">
        <v>497</v>
      </c>
      <c r="O308" s="133" t="s">
        <v>498</v>
      </c>
      <c r="P308" s="133" t="s">
        <v>499</v>
      </c>
      <c r="Q308" s="133" t="s">
        <v>1371</v>
      </c>
      <c r="R308" s="318" t="s">
        <v>3861</v>
      </c>
      <c r="AA308" s="202" t="s">
        <v>3365</v>
      </c>
      <c r="AB308" t="s">
        <v>4568</v>
      </c>
    </row>
    <row r="309" spans="2:28">
      <c r="B309" s="182" t="str">
        <f t="shared" si="25"/>
        <v>Poprzez zapisanie danych potwierdzasz, że zapoznałeś się z podanymi niżej informacjami!</v>
      </c>
      <c r="M309" s="175" t="s">
        <v>464</v>
      </c>
      <c r="N309" s="133" t="s">
        <v>500</v>
      </c>
      <c r="O309" s="133" t="s">
        <v>501</v>
      </c>
      <c r="P309" s="133" t="s">
        <v>502</v>
      </c>
      <c r="Q309" s="133" t="s">
        <v>1504</v>
      </c>
      <c r="R309" s="318" t="s">
        <v>3862</v>
      </c>
      <c r="AA309" s="202" t="s">
        <v>3513</v>
      </c>
      <c r="AB309" t="s">
        <v>4448</v>
      </c>
    </row>
    <row r="310" spans="2:28">
      <c r="B310" s="182" t="str">
        <f t="shared" si="25"/>
        <v>Zwykłe ramki</v>
      </c>
      <c r="M310" s="175" t="s">
        <v>442</v>
      </c>
      <c r="N310" s="133" t="s">
        <v>503</v>
      </c>
      <c r="O310" s="133" t="s">
        <v>504</v>
      </c>
      <c r="P310" s="133" t="s">
        <v>505</v>
      </c>
      <c r="Q310" s="133" t="s">
        <v>1406</v>
      </c>
      <c r="R310" s="318" t="s">
        <v>3863</v>
      </c>
      <c r="AA310" s="202" t="s">
        <v>3099</v>
      </c>
      <c r="AB310" t="s">
        <v>4449</v>
      </c>
    </row>
    <row r="311" spans="2:28">
      <c r="B311" s="182" t="str">
        <f t="shared" si="25"/>
        <v>Ramki przesuwne</v>
      </c>
      <c r="M311" s="175" t="s">
        <v>7</v>
      </c>
      <c r="N311" s="133" t="s">
        <v>343</v>
      </c>
      <c r="O311" s="133" t="s">
        <v>506</v>
      </c>
      <c r="P311" s="133" t="s">
        <v>507</v>
      </c>
      <c r="Q311" s="133" t="s">
        <v>913</v>
      </c>
      <c r="R311" s="318" t="s">
        <v>3837</v>
      </c>
      <c r="AA311" s="202" t="s">
        <v>3100</v>
      </c>
      <c r="AB311" t="s">
        <v>4450</v>
      </c>
    </row>
    <row r="312" spans="2:28">
      <c r="B312" s="182" t="str">
        <f t="shared" si="25"/>
        <v>Rysunki profili i okuć łączących</v>
      </c>
      <c r="M312" s="175" t="s">
        <v>443</v>
      </c>
      <c r="N312" s="133" t="s">
        <v>2550</v>
      </c>
      <c r="O312" s="133" t="s">
        <v>508</v>
      </c>
      <c r="P312" s="133" t="s">
        <v>509</v>
      </c>
      <c r="Q312" s="133" t="s">
        <v>1505</v>
      </c>
      <c r="R312" s="318" t="s">
        <v>3864</v>
      </c>
      <c r="AA312" s="178" t="s">
        <v>3466</v>
      </c>
      <c r="AB312" t="s">
        <v>1603</v>
      </c>
    </row>
    <row r="313" spans="2:28">
      <c r="B313" s="182" t="str">
        <f t="shared" si="25"/>
        <v>Maksymalny zalecany rozmiar ramki to 2500 x 1250 mm (w wypadku ramek ze szkłem wklejanym, np. Corleone 1500 x 600 mm)</v>
      </c>
      <c r="M313" s="175" t="s">
        <v>3092</v>
      </c>
      <c r="N313" s="133" t="s">
        <v>3093</v>
      </c>
      <c r="O313" s="133" t="s">
        <v>3094</v>
      </c>
      <c r="P313" s="133" t="s">
        <v>3095</v>
      </c>
      <c r="Q313" s="133" t="s">
        <v>3096</v>
      </c>
      <c r="R313" s="318" t="s">
        <v>3865</v>
      </c>
      <c r="AA313" s="202" t="s">
        <v>3101</v>
      </c>
      <c r="AB313" t="s">
        <v>4451</v>
      </c>
    </row>
    <row r="314" spans="2:28">
      <c r="B314" s="182" t="str">
        <f t="shared" si="25"/>
        <v>Na prośbę klienta można dostarczyć ramki o maksymalnej długości profilu 3m. Rozmiar maksymalny szkła wynosi 2500 x 1300 mm.</v>
      </c>
      <c r="M314" s="175" t="s">
        <v>551</v>
      </c>
      <c r="N314" s="133" t="s">
        <v>510</v>
      </c>
      <c r="O314" s="133" t="s">
        <v>1311</v>
      </c>
      <c r="P314" s="133" t="s">
        <v>511</v>
      </c>
      <c r="Q314" s="133" t="s">
        <v>1372</v>
      </c>
      <c r="R314" s="318" t="s">
        <v>3866</v>
      </c>
      <c r="AA314" s="202" t="s">
        <v>4438</v>
      </c>
      <c r="AB314" t="s">
        <v>4569</v>
      </c>
    </row>
    <row r="315" spans="2:28">
      <c r="B315" s="182" t="str">
        <f t="shared" si="25"/>
        <v>Wszystkie szkła Lacobel i Matelac można podkleić folią bezpieczną (należy dopisać taką informację w notatce)</v>
      </c>
      <c r="M315" s="175" t="s">
        <v>444</v>
      </c>
      <c r="N315" s="133" t="s">
        <v>512</v>
      </c>
      <c r="O315" s="133" t="s">
        <v>1312</v>
      </c>
      <c r="P315" s="133" t="s">
        <v>1263</v>
      </c>
      <c r="Q315" s="133" t="s">
        <v>1373</v>
      </c>
      <c r="R315" s="318" t="s">
        <v>3867</v>
      </c>
      <c r="AA315" s="202" t="s">
        <v>4431</v>
      </c>
      <c r="AB315" t="s">
        <v>4443</v>
      </c>
    </row>
    <row r="316" spans="2:28">
      <c r="B316" s="182" t="str">
        <f t="shared" si="25"/>
        <v>Wypełniony formularz wyślij pod adres email:</v>
      </c>
      <c r="M316" s="175" t="s">
        <v>445</v>
      </c>
      <c r="N316" s="133" t="s">
        <v>513</v>
      </c>
      <c r="O316" s="133" t="s">
        <v>3497</v>
      </c>
      <c r="P316" s="133" t="s">
        <v>514</v>
      </c>
      <c r="Q316" s="133" t="s">
        <v>1374</v>
      </c>
      <c r="R316" s="318" t="s">
        <v>3868</v>
      </c>
      <c r="AA316" s="202" t="s">
        <v>3369</v>
      </c>
      <c r="AB316" t="s">
        <v>555</v>
      </c>
    </row>
    <row r="317" spans="2:28">
      <c r="B317" s="182" t="str">
        <f t="shared" si="25"/>
        <v>zamowienia@demos-trade.com</v>
      </c>
      <c r="M317" s="196" t="s">
        <v>448</v>
      </c>
      <c r="N317" s="133" t="s">
        <v>3138</v>
      </c>
      <c r="O317" s="133" t="s">
        <v>446</v>
      </c>
      <c r="P317" s="133" t="s">
        <v>447</v>
      </c>
      <c r="Q317" s="133" t="s">
        <v>1375</v>
      </c>
      <c r="R317" s="133" t="s">
        <v>917</v>
      </c>
      <c r="AA317" s="202" t="s">
        <v>3373</v>
      </c>
      <c r="AB317" t="s">
        <v>4570</v>
      </c>
    </row>
    <row r="318" spans="2:28">
      <c r="B318" s="182" t="str">
        <f t="shared" si="25"/>
        <v>Rysunki profili</v>
      </c>
      <c r="M318" s="175" t="s">
        <v>449</v>
      </c>
      <c r="N318" s="133" t="s">
        <v>515</v>
      </c>
      <c r="O318" s="133" t="s">
        <v>516</v>
      </c>
      <c r="P318" s="133" t="s">
        <v>517</v>
      </c>
      <c r="Q318" s="133" t="s">
        <v>918</v>
      </c>
      <c r="R318" s="318" t="s">
        <v>3869</v>
      </c>
      <c r="AA318" s="202" t="s">
        <v>3377</v>
      </c>
      <c r="AB318" t="s">
        <v>4571</v>
      </c>
    </row>
    <row r="319" spans="2:28">
      <c r="B319" s="182" t="str">
        <f t="shared" si="25"/>
        <v>Komplet okuć do wąskiej ramki H27AL (88630)</v>
      </c>
      <c r="M319" s="175" t="s">
        <v>450</v>
      </c>
      <c r="N319" s="133" t="s">
        <v>518</v>
      </c>
      <c r="O319" s="133" t="s">
        <v>519</v>
      </c>
      <c r="P319" s="133" t="s">
        <v>520</v>
      </c>
      <c r="Q319" s="133" t="s">
        <v>1376</v>
      </c>
      <c r="R319" s="318" t="s">
        <v>3870</v>
      </c>
      <c r="AA319" s="202" t="s">
        <v>3102</v>
      </c>
      <c r="AB319" t="s">
        <v>4572</v>
      </c>
    </row>
    <row r="320" spans="2:28">
      <c r="B320" s="182" t="str">
        <f t="shared" si="25"/>
        <v>Komplet okuć do szerokiej ramki H37AL (88631)</v>
      </c>
      <c r="M320" s="175" t="s">
        <v>451</v>
      </c>
      <c r="N320" s="133" t="s">
        <v>521</v>
      </c>
      <c r="O320" s="133" t="s">
        <v>522</v>
      </c>
      <c r="P320" s="133" t="s">
        <v>523</v>
      </c>
      <c r="Q320" s="133" t="s">
        <v>1377</v>
      </c>
      <c r="R320" s="318" t="s">
        <v>3871</v>
      </c>
      <c r="AA320" s="202" t="s">
        <v>3103</v>
      </c>
      <c r="AB320" t="s">
        <v>4573</v>
      </c>
    </row>
    <row r="321" spans="2:28">
      <c r="B321" s="182" t="str">
        <f t="shared" si="25"/>
        <v>Wysokość ramki = wysokość wewnętrzna szafki - 6 mm.</v>
      </c>
      <c r="M321" s="175" t="s">
        <v>3479</v>
      </c>
      <c r="N321" s="133" t="s">
        <v>3481</v>
      </c>
      <c r="O321" s="133" t="s">
        <v>3480</v>
      </c>
      <c r="P321" s="133" t="s">
        <v>3482</v>
      </c>
      <c r="Q321" s="133" t="s">
        <v>3483</v>
      </c>
      <c r="R321" s="318" t="s">
        <v>3872</v>
      </c>
      <c r="AA321" s="202" t="s">
        <v>3042</v>
      </c>
      <c r="AB321" t="s">
        <v>4574</v>
      </c>
    </row>
    <row r="322" spans="2:28">
      <c r="B322" s="182" t="str">
        <f t="shared" si="25"/>
        <v>Standardowo ościeżnice przygotowane są pod okucia przesuwne H27AL (nośność 25 kg na ościeżnicę) i H37AL (nośność 35 kg na ościeżnicę).</v>
      </c>
      <c r="M322" s="175" t="s">
        <v>1227</v>
      </c>
      <c r="N322" s="133" t="s">
        <v>1228</v>
      </c>
      <c r="O322" s="133" t="s">
        <v>1297</v>
      </c>
      <c r="P322" s="133" t="s">
        <v>1296</v>
      </c>
      <c r="Q322" s="133" t="s">
        <v>1378</v>
      </c>
      <c r="R322" s="318" t="s">
        <v>3873</v>
      </c>
      <c r="AA322" s="202" t="s">
        <v>3104</v>
      </c>
      <c r="AB322" t="s">
        <v>4575</v>
      </c>
    </row>
    <row r="323" spans="2:28">
      <c r="B323" s="182" t="str">
        <f t="shared" si="25"/>
        <v>Prowadzenie górne długość 2 m (87313)</v>
      </c>
      <c r="M323" s="175" t="s">
        <v>452</v>
      </c>
      <c r="N323" s="133" t="s">
        <v>524</v>
      </c>
      <c r="O323" s="133" t="s">
        <v>525</v>
      </c>
      <c r="P323" s="133" t="s">
        <v>526</v>
      </c>
      <c r="Q323" s="133" t="s">
        <v>1506</v>
      </c>
      <c r="R323" s="318" t="s">
        <v>3874</v>
      </c>
      <c r="AA323" s="178" t="s">
        <v>3381</v>
      </c>
      <c r="AB323" t="s">
        <v>4576</v>
      </c>
    </row>
    <row r="324" spans="2:28">
      <c r="B324" s="182" t="str">
        <f t="shared" si="25"/>
        <v>Prowadzenie dolne długość 2 m (87315)</v>
      </c>
      <c r="M324" s="175" t="s">
        <v>3139</v>
      </c>
      <c r="N324" s="133" t="s">
        <v>527</v>
      </c>
      <c r="O324" s="133" t="s">
        <v>528</v>
      </c>
      <c r="P324" s="133" t="s">
        <v>529</v>
      </c>
      <c r="Q324" s="133" t="s">
        <v>1507</v>
      </c>
      <c r="R324" s="318" t="s">
        <v>3875</v>
      </c>
      <c r="AA324" s="202" t="s">
        <v>3105</v>
      </c>
      <c r="AB324" t="s">
        <v>4577</v>
      </c>
    </row>
    <row r="325" spans="2:28">
      <c r="B325" s="182" t="str">
        <f t="shared" si="25"/>
        <v>Prowadzenie górne długość 3 m (87312)</v>
      </c>
      <c r="M325" s="175" t="s">
        <v>453</v>
      </c>
      <c r="N325" s="133" t="s">
        <v>530</v>
      </c>
      <c r="O325" s="133" t="s">
        <v>531</v>
      </c>
      <c r="P325" s="133" t="s">
        <v>532</v>
      </c>
      <c r="Q325" s="133" t="s">
        <v>1508</v>
      </c>
      <c r="R325" s="318" t="s">
        <v>3876</v>
      </c>
      <c r="AA325" s="202" t="s">
        <v>4556</v>
      </c>
      <c r="AB325" t="s">
        <v>4444</v>
      </c>
    </row>
    <row r="326" spans="2:28">
      <c r="B326" s="182" t="str">
        <f t="shared" si="25"/>
        <v>Prowadzenie dolne długość 3 m (87314)</v>
      </c>
      <c r="M326" s="175" t="s">
        <v>3140</v>
      </c>
      <c r="N326" s="133" t="s">
        <v>533</v>
      </c>
      <c r="O326" s="133" t="s">
        <v>534</v>
      </c>
      <c r="P326" s="133" t="s">
        <v>535</v>
      </c>
      <c r="Q326" s="133" t="s">
        <v>1509</v>
      </c>
      <c r="R326" s="318" t="s">
        <v>3877</v>
      </c>
      <c r="AA326" s="202" t="s">
        <v>3043</v>
      </c>
      <c r="AB326" t="s">
        <v>4578</v>
      </c>
    </row>
    <row r="327" spans="2:28">
      <c r="B327" s="182" t="str">
        <f t="shared" si="25"/>
        <v>Inne wymagania (szt)</v>
      </c>
      <c r="M327" s="175" t="s">
        <v>460</v>
      </c>
      <c r="N327" s="133" t="s">
        <v>536</v>
      </c>
      <c r="O327" s="133" t="s">
        <v>537</v>
      </c>
      <c r="P327" s="133" t="s">
        <v>538</v>
      </c>
      <c r="Q327" s="133" t="s">
        <v>1510</v>
      </c>
      <c r="R327" s="318" t="s">
        <v>3878</v>
      </c>
      <c r="AA327" s="202" t="s">
        <v>3106</v>
      </c>
      <c r="AB327" t="s">
        <v>4579</v>
      </c>
    </row>
    <row r="328" spans="2:28">
      <c r="B328" s="182" t="str">
        <f t="shared" si="25"/>
        <v>Ilość (szt)</v>
      </c>
      <c r="M328" s="175" t="s">
        <v>463</v>
      </c>
      <c r="N328" s="133" t="s">
        <v>539</v>
      </c>
      <c r="O328" s="133" t="s">
        <v>540</v>
      </c>
      <c r="P328" s="133" t="s">
        <v>541</v>
      </c>
      <c r="Q328" s="133" t="s">
        <v>1511</v>
      </c>
      <c r="R328" s="318" t="s">
        <v>3879</v>
      </c>
      <c r="AA328" s="202" t="s">
        <v>3044</v>
      </c>
      <c r="AB328" t="s">
        <v>4580</v>
      </c>
    </row>
    <row r="329" spans="2:28">
      <c r="B329" s="182" t="str">
        <f t="shared" si="25"/>
        <v>Do ramek ponadgabarytowych (ponad rozmiar 1200 x 800 mm) może być doliczana opłata za specjalne zapakowanie i transport (dodatkowe informacje w Biurze Obsługi Klienta tel. 32 790 85 82)</v>
      </c>
      <c r="M329" s="175" t="s">
        <v>2637</v>
      </c>
      <c r="N329" s="133" t="s">
        <v>542</v>
      </c>
      <c r="O329" s="133" t="s">
        <v>3506</v>
      </c>
      <c r="P329" s="133" t="s">
        <v>1264</v>
      </c>
      <c r="Q329" s="133" t="s">
        <v>1512</v>
      </c>
      <c r="R329" s="318" t="s">
        <v>3880</v>
      </c>
      <c r="AA329" s="202" t="s">
        <v>3385</v>
      </c>
      <c r="AB329" t="s">
        <v>4581</v>
      </c>
    </row>
    <row r="330" spans="2:28">
      <c r="B330" s="182" t="str">
        <f t="shared" si="25"/>
        <v>Przed odesłaniem zamówienia należy sprawdzić czy nie przekroczone zostały maksymalne wymiary ramki względem zastosowanego okucia. Formularz nie ma ustawionych ograniczeń.</v>
      </c>
      <c r="M330" s="175" t="s">
        <v>465</v>
      </c>
      <c r="N330" s="133" t="s">
        <v>543</v>
      </c>
      <c r="O330" s="133" t="s">
        <v>1313</v>
      </c>
      <c r="P330" s="133" t="s">
        <v>544</v>
      </c>
      <c r="Q330" s="133" t="s">
        <v>1379</v>
      </c>
      <c r="R330" s="318" t="s">
        <v>3881</v>
      </c>
      <c r="AA330" s="178" t="s">
        <v>3389</v>
      </c>
      <c r="AB330" t="s">
        <v>4582</v>
      </c>
    </row>
    <row r="331" spans="2:28">
      <c r="B331" s="182" t="str">
        <f t="shared" si="25"/>
        <v>Wzornik szkieł można zamawiać pod kodami Lacebel VZK003P oraz Matelac VZK004P.</v>
      </c>
      <c r="M331" s="175" t="s">
        <v>467</v>
      </c>
      <c r="N331" s="133" t="s">
        <v>546</v>
      </c>
      <c r="O331" s="133" t="s">
        <v>545</v>
      </c>
      <c r="P331" s="133" t="s">
        <v>1265</v>
      </c>
      <c r="Q331" s="133" t="s">
        <v>1380</v>
      </c>
      <c r="R331" s="318" t="s">
        <v>3882</v>
      </c>
      <c r="AA331" s="202" t="s">
        <v>3045</v>
      </c>
      <c r="AB331" t="s">
        <v>4583</v>
      </c>
    </row>
    <row r="332" spans="2:28">
      <c r="B332" s="182" t="str">
        <f t="shared" si="25"/>
        <v>Cena za ramy przesuwne jest taka sama jak cena za zwykłe ramy.</v>
      </c>
      <c r="M332" s="175" t="s">
        <v>1229</v>
      </c>
      <c r="N332" s="133" t="s">
        <v>552</v>
      </c>
      <c r="O332" s="133" t="s">
        <v>1298</v>
      </c>
      <c r="P332" s="133" t="s">
        <v>1299</v>
      </c>
      <c r="Q332" s="133" t="s">
        <v>1381</v>
      </c>
      <c r="R332" s="318" t="s">
        <v>3883</v>
      </c>
      <c r="AA332" s="202" t="s">
        <v>3107</v>
      </c>
      <c r="AB332" t="s">
        <v>4584</v>
      </c>
    </row>
    <row r="333" spans="2:28">
      <c r="B333" s="182" t="str">
        <f t="shared" si="25"/>
        <v>Jeśli uchwyt będzie zamocowany w wierceniach w szkle, należy zastosować podkładkę dystansową (np. kod 144516, 191970, C0315)</v>
      </c>
      <c r="M333" s="175" t="s">
        <v>882</v>
      </c>
      <c r="N333" s="133" t="s">
        <v>883</v>
      </c>
      <c r="O333" s="133" t="s">
        <v>884</v>
      </c>
      <c r="P333" s="133" t="s">
        <v>885</v>
      </c>
      <c r="Q333" s="133" t="s">
        <v>1410</v>
      </c>
      <c r="R333" s="318" t="s">
        <v>3884</v>
      </c>
      <c r="AA333" s="202" t="s">
        <v>3046</v>
      </c>
      <c r="AB333" t="s">
        <v>4585</v>
      </c>
    </row>
    <row r="334" spans="2:28">
      <c r="B334" s="182" t="str">
        <f t="shared" si="25"/>
        <v>Podane rysunki techniczne frontów przedstawione są z przodu.</v>
      </c>
      <c r="M334" s="175" t="s">
        <v>559</v>
      </c>
      <c r="N334" s="133" t="s">
        <v>793</v>
      </c>
      <c r="O334" s="133" t="s">
        <v>1314</v>
      </c>
      <c r="P334" s="133" t="s">
        <v>1266</v>
      </c>
      <c r="Q334" s="133" t="s">
        <v>1382</v>
      </c>
      <c r="R334" s="318" t="s">
        <v>3885</v>
      </c>
      <c r="AA334" s="202" t="s">
        <v>3108</v>
      </c>
      <c r="AB334" t="s">
        <v>4586</v>
      </c>
    </row>
    <row r="335" spans="2:28">
      <c r="B335" s="182" t="str">
        <f t="shared" si="25"/>
        <v>Ramki ponadwymiarowe, może być doliczona wyższa opłata transportu.</v>
      </c>
      <c r="M335" s="175" t="s">
        <v>560</v>
      </c>
      <c r="N335" s="133" t="s">
        <v>561</v>
      </c>
      <c r="O335" s="133" t="s">
        <v>562</v>
      </c>
      <c r="P335" s="133" t="s">
        <v>563</v>
      </c>
      <c r="Q335" s="133" t="s">
        <v>1383</v>
      </c>
      <c r="R335" s="318" t="s">
        <v>3886</v>
      </c>
      <c r="AA335" s="202" t="s">
        <v>3109</v>
      </c>
      <c r="AB335" t="s">
        <v>4587</v>
      </c>
    </row>
    <row r="336" spans="2:28">
      <c r="B336" s="182" t="str">
        <f t="shared" si="25"/>
        <v>Umieszczenie ramienia</v>
      </c>
      <c r="M336" s="175" t="s">
        <v>581</v>
      </c>
      <c r="N336" s="133" t="s">
        <v>794</v>
      </c>
      <c r="O336" s="133" t="s">
        <v>1315</v>
      </c>
      <c r="P336" s="133" t="s">
        <v>795</v>
      </c>
      <c r="Q336" s="133" t="s">
        <v>1384</v>
      </c>
      <c r="R336" s="318" t="s">
        <v>3887</v>
      </c>
      <c r="AA336" s="202" t="s">
        <v>3110</v>
      </c>
      <c r="AB336" t="s">
        <v>4588</v>
      </c>
    </row>
    <row r="337" spans="2:28">
      <c r="B337" s="182" t="str">
        <f t="shared" si="25"/>
        <v>Maksymalne wymiary ramki to 2500x1300mm</v>
      </c>
      <c r="M337" s="175" t="s">
        <v>648</v>
      </c>
      <c r="N337" s="133" t="s">
        <v>652</v>
      </c>
      <c r="O337" s="133" t="s">
        <v>653</v>
      </c>
      <c r="P337" s="133" t="s">
        <v>654</v>
      </c>
      <c r="Q337" s="133" t="s">
        <v>1513</v>
      </c>
      <c r="R337" s="318" t="s">
        <v>3888</v>
      </c>
      <c r="AA337" s="202" t="s">
        <v>3111</v>
      </c>
      <c r="AB337" t="s">
        <v>4589</v>
      </c>
    </row>
    <row r="338" spans="2:28">
      <c r="B338" s="182" t="str">
        <f t="shared" si="25"/>
        <v>Minimalna odległość zawiasu od krawędzi ramki jest 70mm</v>
      </c>
      <c r="M338" s="175" t="s">
        <v>649</v>
      </c>
      <c r="N338" s="133" t="s">
        <v>655</v>
      </c>
      <c r="O338" s="133" t="s">
        <v>656</v>
      </c>
      <c r="P338" s="133" t="s">
        <v>657</v>
      </c>
      <c r="Q338" s="133" t="s">
        <v>1385</v>
      </c>
      <c r="R338" s="318" t="s">
        <v>3889</v>
      </c>
      <c r="AA338" s="202" t="s">
        <v>3047</v>
      </c>
      <c r="AB338" t="s">
        <v>4590</v>
      </c>
    </row>
    <row r="339" spans="2:28">
      <c r="B339" s="182" t="str">
        <f t="shared" si="25"/>
        <v>Minimalna odległość zawiasu od krawędzi ramki jest 80mm</v>
      </c>
      <c r="M339" s="175" t="s">
        <v>650</v>
      </c>
      <c r="N339" s="133" t="s">
        <v>658</v>
      </c>
      <c r="O339" s="133" t="s">
        <v>659</v>
      </c>
      <c r="P339" s="133" t="s">
        <v>660</v>
      </c>
      <c r="Q339" s="133" t="s">
        <v>1386</v>
      </c>
      <c r="R339" s="318" t="s">
        <v>3890</v>
      </c>
      <c r="AA339" s="202" t="s">
        <v>4561</v>
      </c>
      <c r="AB339" t="s">
        <v>4591</v>
      </c>
    </row>
    <row r="340" spans="2:28">
      <c r="B340" s="182" t="str">
        <f t="shared" si="25"/>
        <v>Nakładany Clip</v>
      </c>
      <c r="M340" s="175" t="s">
        <v>64</v>
      </c>
      <c r="N340" s="133" t="s">
        <v>64</v>
      </c>
      <c r="O340" s="133" t="s">
        <v>216</v>
      </c>
      <c r="P340" s="133" t="s">
        <v>282</v>
      </c>
      <c r="Q340" s="133" t="s">
        <v>1448</v>
      </c>
      <c r="R340" s="318" t="s">
        <v>3770</v>
      </c>
      <c r="AA340" s="202" t="s">
        <v>4441</v>
      </c>
      <c r="AB340" t="s">
        <v>4433</v>
      </c>
    </row>
    <row r="341" spans="2:28">
      <c r="B341" s="182" t="str">
        <f t="shared" si="25"/>
        <v>Półnakładany Clip</v>
      </c>
      <c r="M341" s="175" t="s">
        <v>65</v>
      </c>
      <c r="N341" s="133" t="s">
        <v>65</v>
      </c>
      <c r="O341" s="133" t="s">
        <v>217</v>
      </c>
      <c r="P341" s="133" t="s">
        <v>1242</v>
      </c>
      <c r="Q341" s="133" t="s">
        <v>1449</v>
      </c>
      <c r="R341" s="318" t="s">
        <v>3771</v>
      </c>
      <c r="AA341" s="202" t="s">
        <v>2560</v>
      </c>
      <c r="AB341" t="s">
        <v>4592</v>
      </c>
    </row>
    <row r="342" spans="2:28">
      <c r="B342" s="182" t="str">
        <f t="shared" si="25"/>
        <v>Wpuszczany Clip</v>
      </c>
      <c r="M342" s="175" t="s">
        <v>66</v>
      </c>
      <c r="N342" s="133" t="s">
        <v>66</v>
      </c>
      <c r="O342" s="133" t="s">
        <v>218</v>
      </c>
      <c r="P342" s="133" t="s">
        <v>1243</v>
      </c>
      <c r="Q342" s="133" t="s">
        <v>1450</v>
      </c>
      <c r="R342" s="318" t="s">
        <v>3891</v>
      </c>
      <c r="AA342" s="202" t="s">
        <v>3390</v>
      </c>
      <c r="AB342" t="s">
        <v>556</v>
      </c>
    </row>
    <row r="343" spans="2:28">
      <c r="B343" s="182" t="str">
        <f t="shared" si="25"/>
        <v>Kąt 45°</v>
      </c>
      <c r="M343" s="175" t="s">
        <v>67</v>
      </c>
      <c r="N343" s="133" t="s">
        <v>160</v>
      </c>
      <c r="O343" s="133" t="s">
        <v>219</v>
      </c>
      <c r="P343" s="133" t="s">
        <v>283</v>
      </c>
      <c r="Q343" s="133" t="s">
        <v>1350</v>
      </c>
      <c r="R343" s="318" t="s">
        <v>3773</v>
      </c>
      <c r="AA343" s="202" t="s">
        <v>3112</v>
      </c>
      <c r="AB343" t="s">
        <v>4593</v>
      </c>
    </row>
    <row r="344" spans="2:28">
      <c r="B344" s="182" t="str">
        <f t="shared" si="25"/>
        <v>Nakładany</v>
      </c>
      <c r="M344" s="175" t="s">
        <v>68</v>
      </c>
      <c r="N344" s="133" t="s">
        <v>161</v>
      </c>
      <c r="O344" s="133" t="s">
        <v>220</v>
      </c>
      <c r="P344" s="133" t="s">
        <v>284</v>
      </c>
      <c r="Q344" s="133" t="s">
        <v>1451</v>
      </c>
      <c r="R344" s="318" t="s">
        <v>3774</v>
      </c>
      <c r="AA344" s="178" t="s">
        <v>3230</v>
      </c>
      <c r="AB344" t="s">
        <v>4594</v>
      </c>
    </row>
    <row r="345" spans="2:28">
      <c r="B345" s="182" t="str">
        <f t="shared" si="25"/>
        <v>Półnakładany</v>
      </c>
      <c r="M345" s="175" t="s">
        <v>69</v>
      </c>
      <c r="N345" s="133" t="s">
        <v>162</v>
      </c>
      <c r="O345" s="133" t="s">
        <v>221</v>
      </c>
      <c r="P345" s="133" t="s">
        <v>1244</v>
      </c>
      <c r="Q345" s="133" t="s">
        <v>1452</v>
      </c>
      <c r="R345" s="318" t="s">
        <v>3775</v>
      </c>
      <c r="AA345" s="202" t="s">
        <v>4563</v>
      </c>
      <c r="AB345" t="s">
        <v>4445</v>
      </c>
    </row>
    <row r="346" spans="2:28">
      <c r="B346" s="182" t="str">
        <f t="shared" si="25"/>
        <v xml:space="preserve">Wpuszczany </v>
      </c>
      <c r="M346" s="175" t="s">
        <v>70</v>
      </c>
      <c r="N346" s="133" t="s">
        <v>163</v>
      </c>
      <c r="O346" s="133" t="s">
        <v>222</v>
      </c>
      <c r="P346" s="133" t="s">
        <v>1245</v>
      </c>
      <c r="Q346" s="133" t="s">
        <v>905</v>
      </c>
      <c r="R346" s="318" t="s">
        <v>3776</v>
      </c>
      <c r="AA346" s="202" t="s">
        <v>3113</v>
      </c>
      <c r="AB346" t="s">
        <v>4595</v>
      </c>
    </row>
    <row r="347" spans="2:28">
      <c r="B347" s="182" t="str">
        <f t="shared" si="25"/>
        <v>Kąt 45°</v>
      </c>
      <c r="M347" s="175" t="s">
        <v>67</v>
      </c>
      <c r="N347" s="133" t="s">
        <v>160</v>
      </c>
      <c r="O347" s="133" t="s">
        <v>219</v>
      </c>
      <c r="P347" s="133" t="s">
        <v>283</v>
      </c>
      <c r="Q347" s="133" t="s">
        <v>1350</v>
      </c>
      <c r="R347" s="318" t="s">
        <v>3773</v>
      </c>
      <c r="AA347" s="202" t="s">
        <v>3091</v>
      </c>
      <c r="AB347" t="s">
        <v>4596</v>
      </c>
    </row>
    <row r="348" spans="2:28">
      <c r="B348" s="182" t="str">
        <f t="shared" si="25"/>
        <v>Nakładany z odwrotną funkcją sprężyny</v>
      </c>
      <c r="M348" s="175" t="s">
        <v>71</v>
      </c>
      <c r="N348" s="133" t="s">
        <v>71</v>
      </c>
      <c r="O348" s="133" t="s">
        <v>223</v>
      </c>
      <c r="P348" s="133" t="s">
        <v>287</v>
      </c>
      <c r="Q348" s="133" t="s">
        <v>1453</v>
      </c>
      <c r="R348" s="318" t="s">
        <v>3777</v>
      </c>
      <c r="AA348" s="202" t="s">
        <v>4566</v>
      </c>
      <c r="AB348" t="s">
        <v>4597</v>
      </c>
    </row>
    <row r="349" spans="2:28">
      <c r="B349" s="182" t="str">
        <f t="shared" si="25"/>
        <v>Wpuszczany z odwrotną funkcją sprężyny</v>
      </c>
      <c r="M349" s="175" t="s">
        <v>72</v>
      </c>
      <c r="N349" s="133" t="s">
        <v>72</v>
      </c>
      <c r="O349" s="133" t="s">
        <v>224</v>
      </c>
      <c r="P349" s="133" t="s">
        <v>1246</v>
      </c>
      <c r="Q349" s="133" t="s">
        <v>1454</v>
      </c>
      <c r="R349" s="318" t="s">
        <v>3778</v>
      </c>
      <c r="AA349" s="202" t="s">
        <v>3394</v>
      </c>
      <c r="AB349" t="s">
        <v>4598</v>
      </c>
    </row>
    <row r="350" spans="2:28">
      <c r="B350" s="182" t="str">
        <f t="shared" si="25"/>
        <v>Clip na wkręt H2</v>
      </c>
      <c r="M350" s="175" t="s">
        <v>87</v>
      </c>
      <c r="N350" s="133" t="s">
        <v>164</v>
      </c>
      <c r="O350" s="133" t="s">
        <v>225</v>
      </c>
      <c r="P350" s="133" t="s">
        <v>288</v>
      </c>
      <c r="Q350" s="133" t="s">
        <v>1455</v>
      </c>
      <c r="R350" s="318" t="s">
        <v>3779</v>
      </c>
      <c r="AA350" s="202" t="s">
        <v>3114</v>
      </c>
      <c r="AB350" t="s">
        <v>4599</v>
      </c>
    </row>
    <row r="351" spans="2:28">
      <c r="B351" s="182" t="str">
        <f t="shared" si="25"/>
        <v>Clip na wkręt H4</v>
      </c>
      <c r="M351" s="175" t="s">
        <v>88</v>
      </c>
      <c r="N351" s="133" t="s">
        <v>165</v>
      </c>
      <c r="O351" s="133" t="s">
        <v>226</v>
      </c>
      <c r="P351" s="133" t="s">
        <v>289</v>
      </c>
      <c r="Q351" s="133" t="s">
        <v>1456</v>
      </c>
      <c r="R351" s="318" t="s">
        <v>3780</v>
      </c>
      <c r="AA351" s="202" t="s">
        <v>3115</v>
      </c>
      <c r="AB351" t="s">
        <v>4600</v>
      </c>
    </row>
    <row r="352" spans="2:28">
      <c r="B352" s="182" t="str">
        <f t="shared" si="25"/>
        <v>Clip na wkręt euro H2</v>
      </c>
      <c r="M352" s="175" t="s">
        <v>89</v>
      </c>
      <c r="N352" s="133" t="s">
        <v>166</v>
      </c>
      <c r="O352" s="133" t="s">
        <v>227</v>
      </c>
      <c r="P352" s="133" t="s">
        <v>290</v>
      </c>
      <c r="Q352" s="133" t="s">
        <v>1457</v>
      </c>
      <c r="R352" s="318" t="s">
        <v>4146</v>
      </c>
      <c r="AA352" s="202" t="s">
        <v>2561</v>
      </c>
      <c r="AB352" t="s">
        <v>4601</v>
      </c>
    </row>
    <row r="353" spans="2:28">
      <c r="B353" s="182" t="str">
        <f t="shared" si="25"/>
        <v>Clip na wkręt euro H4</v>
      </c>
      <c r="M353" s="175" t="s">
        <v>90</v>
      </c>
      <c r="N353" s="133" t="s">
        <v>167</v>
      </c>
      <c r="O353" s="133" t="s">
        <v>228</v>
      </c>
      <c r="P353" s="133" t="s">
        <v>291</v>
      </c>
      <c r="Q353" s="133" t="s">
        <v>1458</v>
      </c>
      <c r="R353" s="318" t="s">
        <v>3781</v>
      </c>
      <c r="AA353" s="202" t="s">
        <v>3116</v>
      </c>
      <c r="AB353" t="s">
        <v>4602</v>
      </c>
    </row>
    <row r="354" spans="2:28">
      <c r="B354" s="182" t="str">
        <f t="shared" si="25"/>
        <v>Slide on na wkręt H2</v>
      </c>
      <c r="M354" s="175" t="s">
        <v>91</v>
      </c>
      <c r="N354" s="133" t="s">
        <v>168</v>
      </c>
      <c r="O354" s="133" t="s">
        <v>229</v>
      </c>
      <c r="P354" s="133" t="s">
        <v>292</v>
      </c>
      <c r="Q354" s="133" t="s">
        <v>1459</v>
      </c>
      <c r="R354" s="318" t="s">
        <v>3782</v>
      </c>
      <c r="AA354" s="202" t="s">
        <v>2562</v>
      </c>
      <c r="AB354" t="s">
        <v>4603</v>
      </c>
    </row>
    <row r="355" spans="2:28">
      <c r="B355" s="182" t="str">
        <f t="shared" si="25"/>
        <v>Slide on na wkręt H4</v>
      </c>
      <c r="M355" s="175" t="s">
        <v>92</v>
      </c>
      <c r="N355" s="133" t="s">
        <v>169</v>
      </c>
      <c r="O355" s="133" t="s">
        <v>230</v>
      </c>
      <c r="P355" s="133" t="s">
        <v>293</v>
      </c>
      <c r="Q355" s="133" t="s">
        <v>1460</v>
      </c>
      <c r="R355" s="318" t="s">
        <v>3783</v>
      </c>
      <c r="AA355" s="202" t="s">
        <v>2563</v>
      </c>
      <c r="AB355" t="s">
        <v>4604</v>
      </c>
    </row>
    <row r="356" spans="2:28">
      <c r="B356" s="182" t="str">
        <f t="shared" si="25"/>
        <v>Slide on na euro wkręt H2</v>
      </c>
      <c r="M356" s="175" t="s">
        <v>93</v>
      </c>
      <c r="N356" s="133" t="s">
        <v>170</v>
      </c>
      <c r="O356" s="133" t="s">
        <v>231</v>
      </c>
      <c r="P356" s="133" t="s">
        <v>294</v>
      </c>
      <c r="Q356" s="133" t="s">
        <v>1461</v>
      </c>
      <c r="R356" s="318" t="s">
        <v>3784</v>
      </c>
      <c r="AA356" s="202" t="s">
        <v>2593</v>
      </c>
      <c r="AB356" t="s">
        <v>4605</v>
      </c>
    </row>
    <row r="357" spans="2:28">
      <c r="B357" s="182" t="str">
        <f t="shared" si="25"/>
        <v>Slide on na euro wkręt H4</v>
      </c>
      <c r="M357" s="175" t="s">
        <v>94</v>
      </c>
      <c r="N357" s="133" t="s">
        <v>171</v>
      </c>
      <c r="O357" s="133" t="s">
        <v>232</v>
      </c>
      <c r="P357" s="133" t="s">
        <v>295</v>
      </c>
      <c r="Q357" s="133" t="s">
        <v>1462</v>
      </c>
      <c r="R357" s="318" t="s">
        <v>3785</v>
      </c>
      <c r="AA357" s="177" t="s">
        <v>3398</v>
      </c>
      <c r="AB357" t="s">
        <v>4606</v>
      </c>
    </row>
    <row r="358" spans="2:28">
      <c r="B358" s="182" t="str">
        <f t="shared" si="25"/>
        <v>Nakładany Clip</v>
      </c>
      <c r="M358" s="175" t="s">
        <v>64</v>
      </c>
      <c r="N358" s="133" t="s">
        <v>64</v>
      </c>
      <c r="O358" s="133" t="s">
        <v>216</v>
      </c>
      <c r="P358" s="133" t="s">
        <v>282</v>
      </c>
      <c r="Q358" s="133" t="s">
        <v>1448</v>
      </c>
      <c r="R358" s="318" t="s">
        <v>3770</v>
      </c>
      <c r="AA358" s="177" t="s">
        <v>3402</v>
      </c>
      <c r="AB358" t="s">
        <v>4607</v>
      </c>
    </row>
    <row r="359" spans="2:28">
      <c r="B359" s="182" t="str">
        <f t="shared" si="25"/>
        <v>Półnakładany Clip</v>
      </c>
      <c r="M359" s="175" t="s">
        <v>65</v>
      </c>
      <c r="N359" s="133" t="s">
        <v>65</v>
      </c>
      <c r="O359" s="133" t="s">
        <v>217</v>
      </c>
      <c r="P359" s="133" t="s">
        <v>1242</v>
      </c>
      <c r="Q359" s="133" t="s">
        <v>1449</v>
      </c>
      <c r="R359" s="318" t="s">
        <v>3771</v>
      </c>
      <c r="AA359" s="202" t="s">
        <v>4399</v>
      </c>
      <c r="AB359" t="s">
        <v>4418</v>
      </c>
    </row>
    <row r="360" spans="2:28">
      <c r="B360" s="182" t="str">
        <f t="shared" si="25"/>
        <v>Wpuszczany Clip</v>
      </c>
      <c r="M360" s="175" t="s">
        <v>66</v>
      </c>
      <c r="N360" s="133" t="s">
        <v>66</v>
      </c>
      <c r="O360" s="133" t="s">
        <v>218</v>
      </c>
      <c r="P360" s="133" t="s">
        <v>1243</v>
      </c>
      <c r="Q360" s="133" t="s">
        <v>1450</v>
      </c>
      <c r="R360" s="318" t="s">
        <v>3772</v>
      </c>
      <c r="AA360" s="202" t="s">
        <v>4405</v>
      </c>
      <c r="AB360" t="s">
        <v>4608</v>
      </c>
    </row>
    <row r="361" spans="2:28">
      <c r="B361" s="182" t="str">
        <f t="shared" si="25"/>
        <v>45° clip</v>
      </c>
      <c r="M361" s="175" t="s">
        <v>0</v>
      </c>
      <c r="N361" s="133" t="s">
        <v>178</v>
      </c>
      <c r="O361" s="133" t="s">
        <v>0</v>
      </c>
      <c r="P361" s="133" t="s">
        <v>1249</v>
      </c>
      <c r="Q361" s="133" t="s">
        <v>1472</v>
      </c>
      <c r="R361" s="318" t="s">
        <v>3796</v>
      </c>
      <c r="AA361" s="202" t="s">
        <v>4424</v>
      </c>
      <c r="AB361" t="s">
        <v>4609</v>
      </c>
    </row>
    <row r="362" spans="2:28">
      <c r="B362" s="182" t="str">
        <f t="shared" si="25"/>
        <v xml:space="preserve">StrongHinges Clip na wkręt euro H0 </v>
      </c>
      <c r="M362" s="175" t="s">
        <v>2328</v>
      </c>
      <c r="N362" s="133" t="s">
        <v>2329</v>
      </c>
      <c r="O362" s="133" t="s">
        <v>2330</v>
      </c>
      <c r="P362" s="133" t="s">
        <v>2331</v>
      </c>
      <c r="Q362" s="133" t="s">
        <v>2332</v>
      </c>
      <c r="R362" s="318" t="s">
        <v>3892</v>
      </c>
      <c r="AA362" s="202" t="s">
        <v>4410</v>
      </c>
      <c r="AB362" t="s">
        <v>4419</v>
      </c>
    </row>
    <row r="363" spans="2:28">
      <c r="B363" s="182" t="str">
        <f t="shared" si="25"/>
        <v>StrongHinges Clip na wkręt H0</v>
      </c>
      <c r="M363" s="175" t="s">
        <v>2333</v>
      </c>
      <c r="N363" s="133" t="s">
        <v>2334</v>
      </c>
      <c r="O363" s="133" t="s">
        <v>2335</v>
      </c>
      <c r="P363" s="133" t="s">
        <v>2336</v>
      </c>
      <c r="Q363" s="133" t="s">
        <v>2337</v>
      </c>
      <c r="R363" s="318" t="s">
        <v>3893</v>
      </c>
      <c r="AA363" s="202" t="s">
        <v>4416</v>
      </c>
      <c r="AB363" t="s">
        <v>4420</v>
      </c>
    </row>
    <row r="364" spans="2:28">
      <c r="B364" s="182" t="str">
        <f t="shared" ref="B364:B427" si="26">IF($D$1=1,M364,IF($D$1=2,N364,IF($D$1=3,O364,IF($D$1=4,P364,IF($D$1=5,Q364,IF($D$1=6,R364,0))))))</f>
        <v>StrongHinges Clip na wkręt euro H2</v>
      </c>
      <c r="M364" s="175" t="s">
        <v>2338</v>
      </c>
      <c r="N364" s="133" t="s">
        <v>2339</v>
      </c>
      <c r="O364" s="133" t="s">
        <v>2340</v>
      </c>
      <c r="P364" s="133" t="s">
        <v>2341</v>
      </c>
      <c r="Q364" s="133" t="s">
        <v>2342</v>
      </c>
      <c r="R364" s="318" t="s">
        <v>3894</v>
      </c>
      <c r="AA364" s="202" t="s">
        <v>4470</v>
      </c>
      <c r="AB364" t="s">
        <v>4610</v>
      </c>
    </row>
    <row r="365" spans="2:28">
      <c r="B365" s="182" t="str">
        <f t="shared" si="26"/>
        <v>StrongHinges Clip na wkręt H2</v>
      </c>
      <c r="M365" s="175" t="s">
        <v>2343</v>
      </c>
      <c r="N365" s="133" t="s">
        <v>2344</v>
      </c>
      <c r="O365" s="133" t="s">
        <v>2345</v>
      </c>
      <c r="P365" s="133" t="s">
        <v>2346</v>
      </c>
      <c r="Q365" s="133" t="s">
        <v>2347</v>
      </c>
      <c r="R365" s="318" t="s">
        <v>3895</v>
      </c>
      <c r="AA365" s="202" t="s">
        <v>4472</v>
      </c>
      <c r="AB365" t="s">
        <v>4611</v>
      </c>
    </row>
    <row r="366" spans="2:28">
      <c r="B366" s="182" t="str">
        <f t="shared" si="26"/>
        <v>Nakładany Clip</v>
      </c>
      <c r="M366" s="175" t="s">
        <v>64</v>
      </c>
      <c r="N366" s="133" t="s">
        <v>64</v>
      </c>
      <c r="O366" s="133" t="s">
        <v>216</v>
      </c>
      <c r="P366" s="133" t="s">
        <v>282</v>
      </c>
      <c r="Q366" s="133" t="s">
        <v>1448</v>
      </c>
      <c r="R366" s="318" t="s">
        <v>3770</v>
      </c>
      <c r="AA366" s="202" t="s">
        <v>4473</v>
      </c>
      <c r="AB366" t="s">
        <v>4612</v>
      </c>
    </row>
    <row r="367" spans="2:28">
      <c r="B367" s="182" t="str">
        <f t="shared" si="26"/>
        <v>Nakładany Clip</v>
      </c>
      <c r="M367" s="175" t="s">
        <v>64</v>
      </c>
      <c r="N367" s="133" t="s">
        <v>64</v>
      </c>
      <c r="O367" s="133" t="s">
        <v>216</v>
      </c>
      <c r="P367" s="133" t="s">
        <v>282</v>
      </c>
      <c r="Q367" s="133" t="s">
        <v>1448</v>
      </c>
      <c r="R367" s="318" t="s">
        <v>3770</v>
      </c>
      <c r="AA367" s="202" t="s">
        <v>4485</v>
      </c>
      <c r="AB367" t="s">
        <v>4613</v>
      </c>
    </row>
    <row r="368" spans="2:28">
      <c r="B368" s="182" t="str">
        <f t="shared" si="26"/>
        <v>Półnakładany Clip</v>
      </c>
      <c r="M368" s="175" t="s">
        <v>65</v>
      </c>
      <c r="N368" s="133" t="s">
        <v>65</v>
      </c>
      <c r="O368" s="133" t="s">
        <v>217</v>
      </c>
      <c r="P368" s="133" t="s">
        <v>1242</v>
      </c>
      <c r="Q368" s="133" t="s">
        <v>1449</v>
      </c>
      <c r="R368" s="318" t="s">
        <v>3771</v>
      </c>
      <c r="AA368" s="202" t="s">
        <v>4486</v>
      </c>
      <c r="AB368" t="s">
        <v>4614</v>
      </c>
    </row>
    <row r="369" spans="2:28">
      <c r="B369" s="182" t="str">
        <f t="shared" si="26"/>
        <v>Wpuszczany Clip</v>
      </c>
      <c r="M369" s="175" t="s">
        <v>66</v>
      </c>
      <c r="N369" s="133" t="s">
        <v>66</v>
      </c>
      <c r="O369" s="133" t="s">
        <v>218</v>
      </c>
      <c r="P369" s="133" t="s">
        <v>1243</v>
      </c>
      <c r="Q369" s="133" t="s">
        <v>1450</v>
      </c>
      <c r="R369" s="318" t="s">
        <v>3772</v>
      </c>
      <c r="AA369" s="185" t="s">
        <v>3048</v>
      </c>
      <c r="AB369" t="s">
        <v>4615</v>
      </c>
    </row>
    <row r="370" spans="2:28">
      <c r="B370" s="182" t="str">
        <f t="shared" si="26"/>
        <v>45° clip</v>
      </c>
      <c r="M370" s="175" t="s">
        <v>0</v>
      </c>
      <c r="N370" s="133" t="s">
        <v>178</v>
      </c>
      <c r="O370" s="133" t="s">
        <v>0</v>
      </c>
      <c r="P370" s="133" t="s">
        <v>1249</v>
      </c>
      <c r="Q370" s="133" t="s">
        <v>1472</v>
      </c>
      <c r="R370" s="318" t="s">
        <v>3796</v>
      </c>
      <c r="AA370" s="185" t="s">
        <v>3117</v>
      </c>
      <c r="AB370" t="s">
        <v>4616</v>
      </c>
    </row>
    <row r="371" spans="2:28">
      <c r="B371" s="182" t="str">
        <f t="shared" si="26"/>
        <v xml:space="preserve">Clip na wkręt euro H0 </v>
      </c>
      <c r="M371" s="175" t="s">
        <v>86</v>
      </c>
      <c r="N371" s="133" t="s">
        <v>179</v>
      </c>
      <c r="O371" s="133" t="s">
        <v>240</v>
      </c>
      <c r="P371" s="133" t="s">
        <v>303</v>
      </c>
      <c r="Q371" s="133" t="s">
        <v>1473</v>
      </c>
      <c r="R371" s="318" t="s">
        <v>3896</v>
      </c>
      <c r="AA371" s="246" t="s">
        <v>3049</v>
      </c>
      <c r="AB371" t="s">
        <v>4617</v>
      </c>
    </row>
    <row r="372" spans="2:28">
      <c r="B372" s="182" t="str">
        <f t="shared" si="26"/>
        <v>Clip na wkręt H0</v>
      </c>
      <c r="M372" s="175" t="s">
        <v>85</v>
      </c>
      <c r="N372" s="133" t="s">
        <v>180</v>
      </c>
      <c r="O372" s="133" t="s">
        <v>241</v>
      </c>
      <c r="P372" s="133" t="s">
        <v>304</v>
      </c>
      <c r="Q372" s="133" t="s">
        <v>1474</v>
      </c>
      <c r="R372" s="318" t="s">
        <v>3798</v>
      </c>
      <c r="AA372" s="185" t="s">
        <v>3050</v>
      </c>
      <c r="AB372" t="s">
        <v>4618</v>
      </c>
    </row>
    <row r="373" spans="2:28">
      <c r="B373" s="182" t="str">
        <f t="shared" si="26"/>
        <v>Clip na wkręt euro H2</v>
      </c>
      <c r="M373" s="175" t="s">
        <v>89</v>
      </c>
      <c r="N373" s="133" t="s">
        <v>166</v>
      </c>
      <c r="O373" s="133" t="s">
        <v>227</v>
      </c>
      <c r="P373" s="133" t="s">
        <v>290</v>
      </c>
      <c r="Q373" s="133" t="s">
        <v>1457</v>
      </c>
      <c r="R373" s="318" t="s">
        <v>3897</v>
      </c>
      <c r="AA373" s="214" t="s">
        <v>3051</v>
      </c>
      <c r="AB373" t="s">
        <v>4619</v>
      </c>
    </row>
    <row r="374" spans="2:28">
      <c r="B374" s="182" t="str">
        <f t="shared" si="26"/>
        <v>Sensys nakładany z tłumieniem</v>
      </c>
      <c r="M374" s="175" t="s">
        <v>569</v>
      </c>
      <c r="N374" s="133" t="s">
        <v>661</v>
      </c>
      <c r="O374" s="133" t="s">
        <v>662</v>
      </c>
      <c r="P374" s="133" t="s">
        <v>663</v>
      </c>
      <c r="Q374" s="133" t="s">
        <v>1514</v>
      </c>
      <c r="R374" s="318" t="s">
        <v>3898</v>
      </c>
      <c r="AA374" s="185" t="s">
        <v>3052</v>
      </c>
      <c r="AB374" t="s">
        <v>4620</v>
      </c>
    </row>
    <row r="375" spans="2:28">
      <c r="B375" s="182" t="str">
        <f t="shared" si="26"/>
        <v>Sensys półnakładany z tłumieniem</v>
      </c>
      <c r="M375" s="175" t="s">
        <v>570</v>
      </c>
      <c r="N375" s="133" t="s">
        <v>664</v>
      </c>
      <c r="O375" s="133" t="s">
        <v>665</v>
      </c>
      <c r="P375" s="133" t="s">
        <v>1267</v>
      </c>
      <c r="Q375" s="133" t="s">
        <v>1515</v>
      </c>
      <c r="R375" s="318" t="s">
        <v>3899</v>
      </c>
      <c r="AA375" s="133" t="s">
        <v>2390</v>
      </c>
      <c r="AB375" s="185" t="s">
        <v>3053</v>
      </c>
    </row>
    <row r="376" spans="2:28">
      <c r="B376" s="182" t="str">
        <f t="shared" si="26"/>
        <v>Sensys wpuszczany z tłumieniem</v>
      </c>
      <c r="M376" s="175" t="s">
        <v>571</v>
      </c>
      <c r="N376" s="133" t="s">
        <v>666</v>
      </c>
      <c r="O376" s="133" t="s">
        <v>667</v>
      </c>
      <c r="P376" s="133" t="s">
        <v>1268</v>
      </c>
      <c r="Q376" s="133" t="s">
        <v>1516</v>
      </c>
      <c r="R376" s="318" t="s">
        <v>3900</v>
      </c>
      <c r="AA376" s="133" t="s">
        <v>1345</v>
      </c>
      <c r="AB376" s="185" t="s">
        <v>3054</v>
      </c>
    </row>
    <row r="377" spans="2:28">
      <c r="B377" s="182" t="str">
        <f t="shared" si="26"/>
        <v>Sensys równoległy z tłumieniem</v>
      </c>
      <c r="M377" s="175" t="s">
        <v>572</v>
      </c>
      <c r="N377" s="133" t="s">
        <v>668</v>
      </c>
      <c r="O377" s="133" t="s">
        <v>669</v>
      </c>
      <c r="P377" s="133" t="s">
        <v>670</v>
      </c>
      <c r="Q377" s="133" t="s">
        <v>1517</v>
      </c>
      <c r="R377" s="322" t="s">
        <v>3901</v>
      </c>
      <c r="AA377" s="133" t="s">
        <v>2391</v>
      </c>
      <c r="AB377" s="185" t="s">
        <v>3055</v>
      </c>
    </row>
    <row r="378" spans="2:28">
      <c r="B378" s="182" t="str">
        <f t="shared" si="26"/>
        <v>Sensys nakładany bez tłumienia</v>
      </c>
      <c r="M378" s="175" t="s">
        <v>573</v>
      </c>
      <c r="N378" s="133" t="s">
        <v>671</v>
      </c>
      <c r="O378" s="133" t="s">
        <v>672</v>
      </c>
      <c r="P378" s="133" t="s">
        <v>673</v>
      </c>
      <c r="Q378" s="133" t="s">
        <v>1518</v>
      </c>
      <c r="R378" s="318" t="s">
        <v>3902</v>
      </c>
      <c r="AA378" s="133" t="s">
        <v>2393</v>
      </c>
      <c r="AB378" s="185" t="s">
        <v>2392</v>
      </c>
    </row>
    <row r="379" spans="2:28">
      <c r="B379" s="182" t="str">
        <f t="shared" si="26"/>
        <v>Intermat nakładany</v>
      </c>
      <c r="M379" s="175" t="s">
        <v>574</v>
      </c>
      <c r="N379" s="133" t="s">
        <v>574</v>
      </c>
      <c r="O379" s="133" t="s">
        <v>674</v>
      </c>
      <c r="P379" s="133" t="s">
        <v>675</v>
      </c>
      <c r="Q379" s="133" t="s">
        <v>1519</v>
      </c>
      <c r="R379" s="318" t="s">
        <v>3903</v>
      </c>
      <c r="AA379" s="133" t="s">
        <v>1346</v>
      </c>
      <c r="AB379" s="185" t="s">
        <v>1235</v>
      </c>
    </row>
    <row r="380" spans="2:28">
      <c r="B380" s="182" t="str">
        <f t="shared" si="26"/>
        <v>Intermat nakładany 125°</v>
      </c>
      <c r="M380" s="175" t="s">
        <v>575</v>
      </c>
      <c r="N380" s="133" t="s">
        <v>575</v>
      </c>
      <c r="O380" s="133" t="s">
        <v>676</v>
      </c>
      <c r="P380" s="133" t="s">
        <v>677</v>
      </c>
      <c r="Q380" s="133" t="s">
        <v>1520</v>
      </c>
      <c r="R380" s="318" t="s">
        <v>3904</v>
      </c>
      <c r="AA380" s="133" t="s">
        <v>1424</v>
      </c>
      <c r="AB380" s="185" t="s">
        <v>1422</v>
      </c>
    </row>
    <row r="381" spans="2:28">
      <c r="B381" s="182" t="str">
        <f t="shared" si="26"/>
        <v>Intermat półnakładany</v>
      </c>
      <c r="M381" s="175" t="s">
        <v>576</v>
      </c>
      <c r="N381" s="133" t="s">
        <v>576</v>
      </c>
      <c r="O381" s="133" t="s">
        <v>678</v>
      </c>
      <c r="P381" s="133" t="s">
        <v>1269</v>
      </c>
      <c r="Q381" s="133" t="s">
        <v>1521</v>
      </c>
      <c r="R381" s="318" t="s">
        <v>4147</v>
      </c>
      <c r="AA381" s="318" t="s">
        <v>3660</v>
      </c>
      <c r="AB381" t="s">
        <v>554</v>
      </c>
    </row>
    <row r="382" spans="2:28">
      <c r="B382" s="182" t="str">
        <f t="shared" si="26"/>
        <v>Intermat wpuszczany</v>
      </c>
      <c r="M382" s="175" t="s">
        <v>577</v>
      </c>
      <c r="N382" s="133" t="s">
        <v>577</v>
      </c>
      <c r="O382" s="133" t="s">
        <v>679</v>
      </c>
      <c r="P382" s="133" t="s">
        <v>1270</v>
      </c>
      <c r="Q382" s="133" t="s">
        <v>1387</v>
      </c>
      <c r="R382" s="318" t="s">
        <v>3905</v>
      </c>
      <c r="AA382" s="318" t="s">
        <v>3661</v>
      </c>
      <c r="AB382" t="s">
        <v>4446</v>
      </c>
    </row>
    <row r="383" spans="2:28">
      <c r="B383" s="182" t="str">
        <f t="shared" si="26"/>
        <v>Intermat równoległy</v>
      </c>
      <c r="M383" s="175" t="s">
        <v>578</v>
      </c>
      <c r="N383" s="133" t="s">
        <v>680</v>
      </c>
      <c r="O383" s="133" t="s">
        <v>681</v>
      </c>
      <c r="P383" s="133" t="s">
        <v>682</v>
      </c>
      <c r="Q383" s="133" t="s">
        <v>1522</v>
      </c>
      <c r="R383" s="318" t="s">
        <v>3906</v>
      </c>
      <c r="AA383" s="318" t="s">
        <v>3662</v>
      </c>
      <c r="AB383" t="s">
        <v>4447</v>
      </c>
    </row>
    <row r="384" spans="2:28">
      <c r="B384" s="182" t="str">
        <f t="shared" si="26"/>
        <v>Sensys nakładany bez tłumienia</v>
      </c>
      <c r="M384" s="175" t="s">
        <v>597</v>
      </c>
      <c r="N384" s="133" t="s">
        <v>683</v>
      </c>
      <c r="O384" s="133" t="s">
        <v>672</v>
      </c>
      <c r="P384" s="133" t="s">
        <v>673</v>
      </c>
      <c r="Q384" s="133" t="s">
        <v>1523</v>
      </c>
      <c r="R384" s="318" t="s">
        <v>3902</v>
      </c>
      <c r="AA384" s="318" t="s">
        <v>3663</v>
      </c>
      <c r="AB384" t="s">
        <v>4568</v>
      </c>
    </row>
    <row r="385" spans="2:28">
      <c r="B385" s="182" t="str">
        <f t="shared" si="26"/>
        <v>Sensys wpuszczany bez tłumienia</v>
      </c>
      <c r="M385" s="175" t="s">
        <v>598</v>
      </c>
      <c r="N385" s="133" t="s">
        <v>684</v>
      </c>
      <c r="O385" s="133" t="s">
        <v>685</v>
      </c>
      <c r="P385" s="133" t="s">
        <v>1271</v>
      </c>
      <c r="Q385" s="133" t="s">
        <v>1524</v>
      </c>
      <c r="R385" s="318" t="s">
        <v>3907</v>
      </c>
      <c r="AA385" s="318" t="s">
        <v>3664</v>
      </c>
      <c r="AB385" t="s">
        <v>4448</v>
      </c>
    </row>
    <row r="386" spans="2:28">
      <c r="B386" s="182" t="str">
        <f t="shared" si="26"/>
        <v>Sensys nakładany z tłumieniem</v>
      </c>
      <c r="M386" s="175" t="s">
        <v>569</v>
      </c>
      <c r="N386" s="133" t="s">
        <v>661</v>
      </c>
      <c r="O386" s="133" t="s">
        <v>662</v>
      </c>
      <c r="P386" s="133" t="s">
        <v>663</v>
      </c>
      <c r="Q386" s="133" t="s">
        <v>1514</v>
      </c>
      <c r="R386" s="318" t="s">
        <v>3898</v>
      </c>
      <c r="AA386" s="318" t="s">
        <v>3665</v>
      </c>
      <c r="AB386" t="s">
        <v>4449</v>
      </c>
    </row>
    <row r="387" spans="2:28">
      <c r="B387" s="182" t="str">
        <f t="shared" si="26"/>
        <v>Sensys wpuszczany z tłumieniem</v>
      </c>
      <c r="M387" s="175" t="s">
        <v>571</v>
      </c>
      <c r="N387" s="133" t="s">
        <v>666</v>
      </c>
      <c r="O387" s="133" t="s">
        <v>667</v>
      </c>
      <c r="P387" s="133" t="s">
        <v>1268</v>
      </c>
      <c r="Q387" s="133" t="s">
        <v>1516</v>
      </c>
      <c r="R387" s="318" t="s">
        <v>3900</v>
      </c>
      <c r="AA387" s="318" t="s">
        <v>3666</v>
      </c>
      <c r="AB387" t="s">
        <v>4450</v>
      </c>
    </row>
    <row r="388" spans="2:28">
      <c r="B388" s="182" t="str">
        <f t="shared" si="26"/>
        <v>Intermat nakładany</v>
      </c>
      <c r="M388" s="175" t="s">
        <v>574</v>
      </c>
      <c r="N388" s="133" t="s">
        <v>574</v>
      </c>
      <c r="O388" s="133" t="s">
        <v>674</v>
      </c>
      <c r="P388" s="133" t="s">
        <v>675</v>
      </c>
      <c r="Q388" s="133" t="s">
        <v>1519</v>
      </c>
      <c r="R388" s="318" t="s">
        <v>3903</v>
      </c>
      <c r="AA388" s="318" t="s">
        <v>3667</v>
      </c>
      <c r="AB388" t="s">
        <v>1603</v>
      </c>
    </row>
    <row r="389" spans="2:28">
      <c r="B389" s="182" t="str">
        <f t="shared" si="26"/>
        <v>Intermat wpuszczany</v>
      </c>
      <c r="M389" s="175" t="s">
        <v>577</v>
      </c>
      <c r="N389" s="133" t="s">
        <v>577</v>
      </c>
      <c r="O389" s="133" t="s">
        <v>679</v>
      </c>
      <c r="P389" s="133" t="s">
        <v>1270</v>
      </c>
      <c r="Q389" s="133" t="s">
        <v>1387</v>
      </c>
      <c r="R389" s="318" t="s">
        <v>3905</v>
      </c>
      <c r="AA389" s="318" t="s">
        <v>3668</v>
      </c>
      <c r="AB389" t="s">
        <v>4451</v>
      </c>
    </row>
    <row r="390" spans="2:28">
      <c r="B390" s="182" t="str">
        <f t="shared" si="26"/>
        <v>prowadnik na wkręt</v>
      </c>
      <c r="M390" s="175" t="s">
        <v>645</v>
      </c>
      <c r="N390" s="133" t="s">
        <v>645</v>
      </c>
      <c r="O390" s="133" t="s">
        <v>686</v>
      </c>
      <c r="P390" s="133" t="s">
        <v>687</v>
      </c>
      <c r="Q390" s="133" t="s">
        <v>1525</v>
      </c>
      <c r="R390" s="322" t="s">
        <v>3908</v>
      </c>
      <c r="AA390" s="318" t="s">
        <v>4439</v>
      </c>
      <c r="AB390" t="s">
        <v>4569</v>
      </c>
    </row>
    <row r="391" spans="2:28">
      <c r="B391" s="182" t="str">
        <f t="shared" si="26"/>
        <v>prowadnik na Eurowkręt</v>
      </c>
      <c r="M391" s="175" t="s">
        <v>579</v>
      </c>
      <c r="N391" s="133" t="s">
        <v>579</v>
      </c>
      <c r="O391" s="133" t="s">
        <v>688</v>
      </c>
      <c r="P391" s="133" t="s">
        <v>689</v>
      </c>
      <c r="Q391" s="133" t="s">
        <v>1526</v>
      </c>
      <c r="R391" s="322" t="s">
        <v>3909</v>
      </c>
      <c r="AA391" s="318" t="s">
        <v>4432</v>
      </c>
      <c r="AB391" t="s">
        <v>4443</v>
      </c>
    </row>
    <row r="392" spans="2:28">
      <c r="B392" s="182" t="str">
        <f t="shared" si="26"/>
        <v>prowadnik z kołkiem rozporowym</v>
      </c>
      <c r="M392" s="175" t="s">
        <v>580</v>
      </c>
      <c r="N392" s="133" t="s">
        <v>690</v>
      </c>
      <c r="O392" s="133" t="s">
        <v>691</v>
      </c>
      <c r="P392" s="133" t="s">
        <v>692</v>
      </c>
      <c r="Q392" s="133" t="s">
        <v>1527</v>
      </c>
      <c r="R392" s="322" t="s">
        <v>3910</v>
      </c>
      <c r="AA392" s="318" t="s">
        <v>3669</v>
      </c>
      <c r="AB392" t="s">
        <v>555</v>
      </c>
    </row>
    <row r="393" spans="2:28">
      <c r="B393" s="182" t="str">
        <f t="shared" si="26"/>
        <v>Nakładany Clip</v>
      </c>
      <c r="M393" s="175" t="s">
        <v>646</v>
      </c>
      <c r="N393" s="133" t="s">
        <v>64</v>
      </c>
      <c r="O393" s="133" t="s">
        <v>216</v>
      </c>
      <c r="P393" s="133" t="s">
        <v>282</v>
      </c>
      <c r="Q393" s="133" t="s">
        <v>1448</v>
      </c>
      <c r="R393" s="318" t="s">
        <v>3770</v>
      </c>
      <c r="AA393" s="318" t="s">
        <v>3670</v>
      </c>
      <c r="AB393" t="s">
        <v>4570</v>
      </c>
    </row>
    <row r="394" spans="2:28">
      <c r="B394" s="182" t="str">
        <f t="shared" si="26"/>
        <v>Półnakładany Clip</v>
      </c>
      <c r="M394" s="175" t="s">
        <v>647</v>
      </c>
      <c r="N394" s="133" t="s">
        <v>65</v>
      </c>
      <c r="O394" s="133" t="s">
        <v>217</v>
      </c>
      <c r="P394" s="133" t="s">
        <v>1242</v>
      </c>
      <c r="Q394" s="133" t="s">
        <v>1449</v>
      </c>
      <c r="R394" s="318" t="s">
        <v>3771</v>
      </c>
      <c r="AA394" s="318" t="s">
        <v>3671</v>
      </c>
      <c r="AB394" t="s">
        <v>4571</v>
      </c>
    </row>
    <row r="395" spans="2:28">
      <c r="B395" s="182" t="str">
        <f t="shared" si="26"/>
        <v>Wpuszczany Clip</v>
      </c>
      <c r="M395" s="175" t="s">
        <v>66</v>
      </c>
      <c r="N395" s="133" t="s">
        <v>66</v>
      </c>
      <c r="O395" s="133" t="s">
        <v>218</v>
      </c>
      <c r="P395" s="133" t="s">
        <v>1243</v>
      </c>
      <c r="Q395" s="133" t="s">
        <v>1450</v>
      </c>
      <c r="R395" s="318" t="s">
        <v>3772</v>
      </c>
      <c r="AA395" s="318" t="s">
        <v>3672</v>
      </c>
      <c r="AB395" t="s">
        <v>4572</v>
      </c>
    </row>
    <row r="396" spans="2:28">
      <c r="B396" s="182" t="str">
        <f t="shared" si="26"/>
        <v>nakładany z tłumieniem clip 110°</v>
      </c>
      <c r="M396" s="175" t="s">
        <v>583</v>
      </c>
      <c r="N396" s="133" t="s">
        <v>693</v>
      </c>
      <c r="O396" s="133" t="s">
        <v>694</v>
      </c>
      <c r="P396" s="133" t="s">
        <v>827</v>
      </c>
      <c r="Q396" s="133" t="s">
        <v>1528</v>
      </c>
      <c r="R396" s="318" t="s">
        <v>3911</v>
      </c>
      <c r="AA396" s="318" t="s">
        <v>3673</v>
      </c>
      <c r="AB396" t="s">
        <v>4573</v>
      </c>
    </row>
    <row r="397" spans="2:28">
      <c r="B397" s="182" t="str">
        <f t="shared" si="26"/>
        <v>półnakładany z tłumieniem clip 110°</v>
      </c>
      <c r="M397" s="175" t="s">
        <v>584</v>
      </c>
      <c r="N397" s="133" t="s">
        <v>695</v>
      </c>
      <c r="O397" s="133" t="s">
        <v>696</v>
      </c>
      <c r="P397" s="133" t="s">
        <v>1272</v>
      </c>
      <c r="Q397" s="133" t="s">
        <v>1529</v>
      </c>
      <c r="R397" s="318" t="s">
        <v>3912</v>
      </c>
      <c r="AA397" s="318" t="s">
        <v>3674</v>
      </c>
      <c r="AB397" t="s">
        <v>4574</v>
      </c>
    </row>
    <row r="398" spans="2:28">
      <c r="B398" s="182" t="str">
        <f t="shared" si="26"/>
        <v>wpuszczany z tłumieniem clip 110°</v>
      </c>
      <c r="M398" s="175" t="s">
        <v>585</v>
      </c>
      <c r="N398" s="133" t="s">
        <v>697</v>
      </c>
      <c r="O398" s="133" t="s">
        <v>698</v>
      </c>
      <c r="P398" s="133" t="s">
        <v>1273</v>
      </c>
      <c r="Q398" s="133" t="s">
        <v>1530</v>
      </c>
      <c r="R398" s="318" t="s">
        <v>3913</v>
      </c>
      <c r="AA398" s="318" t="s">
        <v>3675</v>
      </c>
      <c r="AB398" t="s">
        <v>4575</v>
      </c>
    </row>
    <row r="399" spans="2:28">
      <c r="B399" s="182" t="str">
        <f t="shared" si="26"/>
        <v>nakładany bez tłumienia clip 110°</v>
      </c>
      <c r="M399" s="175" t="s">
        <v>586</v>
      </c>
      <c r="N399" s="133" t="s">
        <v>699</v>
      </c>
      <c r="O399" s="133" t="s">
        <v>700</v>
      </c>
      <c r="P399" s="133" t="s">
        <v>828</v>
      </c>
      <c r="Q399" s="133" t="s">
        <v>1531</v>
      </c>
      <c r="R399" s="318" t="s">
        <v>3914</v>
      </c>
      <c r="AA399" s="318" t="s">
        <v>3676</v>
      </c>
      <c r="AB399" t="s">
        <v>4576</v>
      </c>
    </row>
    <row r="400" spans="2:28">
      <c r="B400" s="182" t="str">
        <f t="shared" si="26"/>
        <v>półnakładany bez tłumienia clip 110°</v>
      </c>
      <c r="M400" s="175" t="s">
        <v>587</v>
      </c>
      <c r="N400" s="133" t="s">
        <v>701</v>
      </c>
      <c r="O400" s="133" t="s">
        <v>702</v>
      </c>
      <c r="P400" s="133" t="s">
        <v>1274</v>
      </c>
      <c r="Q400" s="133" t="s">
        <v>1532</v>
      </c>
      <c r="R400" s="318" t="s">
        <v>3915</v>
      </c>
      <c r="AA400" s="318" t="s">
        <v>3677</v>
      </c>
      <c r="AB400" t="s">
        <v>4577</v>
      </c>
    </row>
    <row r="401" spans="2:28">
      <c r="B401" s="182" t="str">
        <f t="shared" si="26"/>
        <v>wpuszczany bez tłumienia clip 110°</v>
      </c>
      <c r="M401" s="175" t="s">
        <v>588</v>
      </c>
      <c r="N401" s="133" t="s">
        <v>703</v>
      </c>
      <c r="O401" s="133" t="s">
        <v>704</v>
      </c>
      <c r="P401" s="133" t="s">
        <v>841</v>
      </c>
      <c r="Q401" s="133" t="s">
        <v>1533</v>
      </c>
      <c r="R401" s="318" t="s">
        <v>3916</v>
      </c>
      <c r="AA401" s="318" t="s">
        <v>3678</v>
      </c>
      <c r="AB401" t="s">
        <v>4444</v>
      </c>
    </row>
    <row r="402" spans="2:28">
      <c r="B402" s="182" t="str">
        <f t="shared" si="26"/>
        <v>nakładany TIP-ON clip 110°</v>
      </c>
      <c r="M402" s="175" t="s">
        <v>589</v>
      </c>
      <c r="N402" s="133" t="s">
        <v>589</v>
      </c>
      <c r="O402" s="133" t="s">
        <v>705</v>
      </c>
      <c r="P402" s="133" t="s">
        <v>829</v>
      </c>
      <c r="Q402" s="133" t="s">
        <v>1534</v>
      </c>
      <c r="R402" s="318" t="s">
        <v>3917</v>
      </c>
      <c r="AA402" s="318" t="s">
        <v>3679</v>
      </c>
      <c r="AB402" t="s">
        <v>4578</v>
      </c>
    </row>
    <row r="403" spans="2:28">
      <c r="B403" s="182" t="str">
        <f t="shared" si="26"/>
        <v>półnakładany TIP-ON clip 110°</v>
      </c>
      <c r="M403" s="175" t="s">
        <v>590</v>
      </c>
      <c r="N403" s="133" t="s">
        <v>590</v>
      </c>
      <c r="O403" s="133" t="s">
        <v>706</v>
      </c>
      <c r="P403" s="133" t="s">
        <v>1275</v>
      </c>
      <c r="Q403" s="133" t="s">
        <v>1535</v>
      </c>
      <c r="R403" s="318" t="s">
        <v>3918</v>
      </c>
      <c r="AA403" s="318" t="s">
        <v>3680</v>
      </c>
      <c r="AB403" t="s">
        <v>4579</v>
      </c>
    </row>
    <row r="404" spans="2:28">
      <c r="B404" s="182" t="str">
        <f t="shared" si="26"/>
        <v>wpuszczany TIP-ON clip 110°</v>
      </c>
      <c r="M404" s="175" t="s">
        <v>591</v>
      </c>
      <c r="N404" s="133" t="s">
        <v>591</v>
      </c>
      <c r="O404" s="133" t="s">
        <v>707</v>
      </c>
      <c r="P404" s="133" t="s">
        <v>1276</v>
      </c>
      <c r="Q404" s="133" t="s">
        <v>1536</v>
      </c>
      <c r="R404" s="318" t="s">
        <v>3919</v>
      </c>
      <c r="AA404" s="318" t="s">
        <v>3681</v>
      </c>
      <c r="AB404" t="s">
        <v>4580</v>
      </c>
    </row>
    <row r="405" spans="2:28">
      <c r="B405" s="182" t="str">
        <f t="shared" si="26"/>
        <v>Nakładany Clip</v>
      </c>
      <c r="M405" s="175" t="s">
        <v>646</v>
      </c>
      <c r="N405" s="133" t="s">
        <v>64</v>
      </c>
      <c r="O405" s="133" t="s">
        <v>216</v>
      </c>
      <c r="P405" s="133" t="s">
        <v>282</v>
      </c>
      <c r="Q405" s="133" t="s">
        <v>1448</v>
      </c>
      <c r="R405" s="318" t="s">
        <v>3770</v>
      </c>
      <c r="AA405" s="318" t="s">
        <v>3682</v>
      </c>
      <c r="AB405" t="s">
        <v>4581</v>
      </c>
    </row>
    <row r="406" spans="2:28">
      <c r="B406" s="182" t="str">
        <f t="shared" si="26"/>
        <v>Półnakładany Clip</v>
      </c>
      <c r="M406" s="175" t="s">
        <v>647</v>
      </c>
      <c r="N406" s="133" t="s">
        <v>65</v>
      </c>
      <c r="O406" s="133" t="s">
        <v>217</v>
      </c>
      <c r="P406" s="133" t="s">
        <v>1242</v>
      </c>
      <c r="Q406" s="133" t="s">
        <v>1449</v>
      </c>
      <c r="R406" s="318" t="s">
        <v>3771</v>
      </c>
      <c r="AA406" s="318" t="s">
        <v>3683</v>
      </c>
      <c r="AB406" t="s">
        <v>4582</v>
      </c>
    </row>
    <row r="407" spans="2:28">
      <c r="B407" s="182" t="str">
        <f t="shared" si="26"/>
        <v>Wpuszczany Clip</v>
      </c>
      <c r="M407" s="175" t="s">
        <v>66</v>
      </c>
      <c r="N407" s="133" t="s">
        <v>66</v>
      </c>
      <c r="O407" s="133" t="s">
        <v>218</v>
      </c>
      <c r="P407" s="133" t="s">
        <v>1243</v>
      </c>
      <c r="Q407" s="133" t="s">
        <v>1450</v>
      </c>
      <c r="R407" s="318" t="s">
        <v>3772</v>
      </c>
      <c r="AA407" s="318" t="s">
        <v>3684</v>
      </c>
      <c r="AB407" t="s">
        <v>4583</v>
      </c>
    </row>
    <row r="408" spans="2:28">
      <c r="B408" s="182" t="str">
        <f t="shared" si="26"/>
        <v>nakładany z tłumieniem clip 95°</v>
      </c>
      <c r="M408" s="175" t="s">
        <v>592</v>
      </c>
      <c r="N408" s="133" t="s">
        <v>708</v>
      </c>
      <c r="O408" s="133" t="s">
        <v>709</v>
      </c>
      <c r="P408" s="133" t="s">
        <v>830</v>
      </c>
      <c r="Q408" s="133" t="s">
        <v>1537</v>
      </c>
      <c r="R408" s="318" t="s">
        <v>3920</v>
      </c>
      <c r="AA408" s="318" t="s">
        <v>3685</v>
      </c>
      <c r="AB408" t="s">
        <v>4584</v>
      </c>
    </row>
    <row r="409" spans="2:28">
      <c r="B409" s="182" t="str">
        <f t="shared" si="26"/>
        <v>półnakładany z tłumieniem clip 95°</v>
      </c>
      <c r="M409" s="175" t="s">
        <v>593</v>
      </c>
      <c r="N409" s="133" t="s">
        <v>710</v>
      </c>
      <c r="O409" s="133" t="s">
        <v>711</v>
      </c>
      <c r="P409" s="133" t="s">
        <v>1277</v>
      </c>
      <c r="Q409" s="133" t="s">
        <v>1538</v>
      </c>
      <c r="R409" s="318" t="s">
        <v>3921</v>
      </c>
      <c r="AA409" s="318" t="s">
        <v>3686</v>
      </c>
      <c r="AB409" t="s">
        <v>4585</v>
      </c>
    </row>
    <row r="410" spans="2:28">
      <c r="B410" s="182" t="str">
        <f t="shared" si="26"/>
        <v>wpuszczany z tłumieniem clip 95°</v>
      </c>
      <c r="M410" s="175" t="s">
        <v>594</v>
      </c>
      <c r="N410" s="133" t="s">
        <v>712</v>
      </c>
      <c r="O410" s="133" t="s">
        <v>713</v>
      </c>
      <c r="P410" s="133" t="s">
        <v>1278</v>
      </c>
      <c r="Q410" s="133" t="s">
        <v>1539</v>
      </c>
      <c r="R410" s="318" t="s">
        <v>3922</v>
      </c>
      <c r="AA410" s="318" t="s">
        <v>3687</v>
      </c>
      <c r="AB410" t="s">
        <v>4586</v>
      </c>
    </row>
    <row r="411" spans="2:28">
      <c r="B411" s="182" t="str">
        <f t="shared" si="26"/>
        <v>nakładany TIP-ON clip 95°</v>
      </c>
      <c r="M411" s="175" t="s">
        <v>595</v>
      </c>
      <c r="N411" s="133" t="s">
        <v>595</v>
      </c>
      <c r="O411" s="133" t="s">
        <v>714</v>
      </c>
      <c r="P411" s="133" t="s">
        <v>831</v>
      </c>
      <c r="Q411" s="133" t="s">
        <v>1540</v>
      </c>
      <c r="R411" s="318" t="s">
        <v>3923</v>
      </c>
      <c r="AA411" s="318" t="s">
        <v>3688</v>
      </c>
      <c r="AB411" t="s">
        <v>4587</v>
      </c>
    </row>
    <row r="412" spans="2:28">
      <c r="B412" s="182" t="str">
        <f t="shared" si="26"/>
        <v>nakładany TIP-ON clip 120°</v>
      </c>
      <c r="M412" s="175" t="s">
        <v>596</v>
      </c>
      <c r="N412" s="133" t="s">
        <v>596</v>
      </c>
      <c r="O412" s="133" t="s">
        <v>715</v>
      </c>
      <c r="P412" s="133" t="s">
        <v>832</v>
      </c>
      <c r="Q412" s="133" t="s">
        <v>1541</v>
      </c>
      <c r="R412" s="318" t="s">
        <v>3924</v>
      </c>
      <c r="AA412" s="318" t="s">
        <v>3689</v>
      </c>
      <c r="AB412" t="s">
        <v>4588</v>
      </c>
    </row>
    <row r="413" spans="2:28">
      <c r="B413" s="182" t="str">
        <f t="shared" si="26"/>
        <v xml:space="preserve">Clip na wkręt euro </v>
      </c>
      <c r="M413" s="175" t="s">
        <v>83</v>
      </c>
      <c r="N413" s="133" t="s">
        <v>175</v>
      </c>
      <c r="O413" s="133" t="s">
        <v>238</v>
      </c>
      <c r="P413" s="133" t="s">
        <v>300</v>
      </c>
      <c r="Q413" s="133" t="s">
        <v>1470</v>
      </c>
      <c r="R413" s="318" t="s">
        <v>3925</v>
      </c>
      <c r="AA413" s="318" t="s">
        <v>3690</v>
      </c>
      <c r="AB413" t="s">
        <v>4589</v>
      </c>
    </row>
    <row r="414" spans="2:28">
      <c r="B414" s="182" t="str">
        <f t="shared" si="26"/>
        <v>Clip na wkręt</v>
      </c>
      <c r="M414" s="175" t="s">
        <v>82</v>
      </c>
      <c r="N414" s="133" t="s">
        <v>176</v>
      </c>
      <c r="O414" s="133" t="s">
        <v>239</v>
      </c>
      <c r="P414" s="133" t="s">
        <v>301</v>
      </c>
      <c r="Q414" s="133" t="s">
        <v>1471</v>
      </c>
      <c r="R414" s="318" t="s">
        <v>3794</v>
      </c>
      <c r="AA414" s="318" t="s">
        <v>3691</v>
      </c>
      <c r="AB414" t="s">
        <v>4590</v>
      </c>
    </row>
    <row r="415" spans="2:28">
      <c r="B415" s="182" t="str">
        <f t="shared" si="26"/>
        <v>Podwyższenie o 6mm</v>
      </c>
      <c r="M415" s="175" t="s">
        <v>84</v>
      </c>
      <c r="N415" s="133" t="s">
        <v>177</v>
      </c>
      <c r="O415" s="133" t="s">
        <v>1303</v>
      </c>
      <c r="P415" s="133" t="s">
        <v>302</v>
      </c>
      <c r="Q415" s="133" t="s">
        <v>906</v>
      </c>
      <c r="R415" s="318" t="s">
        <v>3926</v>
      </c>
      <c r="AA415" s="318" t="s">
        <v>4562</v>
      </c>
      <c r="AB415" t="s">
        <v>4591</v>
      </c>
    </row>
    <row r="416" spans="2:28">
      <c r="B416" s="182" t="str">
        <f t="shared" si="26"/>
        <v>nakładany nasuwany</v>
      </c>
      <c r="M416" s="133" t="s">
        <v>635</v>
      </c>
      <c r="N416" s="133" t="s">
        <v>716</v>
      </c>
      <c r="O416" s="133" t="s">
        <v>717</v>
      </c>
      <c r="P416" s="133" t="s">
        <v>1279</v>
      </c>
      <c r="Q416" s="133" t="s">
        <v>1542</v>
      </c>
      <c r="R416" s="318" t="s">
        <v>3927</v>
      </c>
      <c r="AA416" s="318" t="s">
        <v>4442</v>
      </c>
      <c r="AB416" t="s">
        <v>4433</v>
      </c>
    </row>
    <row r="417" spans="2:28">
      <c r="B417" s="182" t="str">
        <f t="shared" si="26"/>
        <v>półnakładany nasuwany</v>
      </c>
      <c r="M417" s="133" t="s">
        <v>636</v>
      </c>
      <c r="N417" s="133" t="s">
        <v>718</v>
      </c>
      <c r="O417" s="133" t="s">
        <v>719</v>
      </c>
      <c r="P417" s="133" t="s">
        <v>1280</v>
      </c>
      <c r="Q417" s="133" t="s">
        <v>1543</v>
      </c>
      <c r="R417" s="318" t="s">
        <v>3928</v>
      </c>
      <c r="AA417" s="318" t="s">
        <v>3692</v>
      </c>
      <c r="AB417" t="s">
        <v>4592</v>
      </c>
    </row>
    <row r="418" spans="2:28">
      <c r="B418" s="182" t="str">
        <f t="shared" si="26"/>
        <v>wpuszczany nasuwany</v>
      </c>
      <c r="M418" s="133" t="s">
        <v>637</v>
      </c>
      <c r="N418" s="133" t="s">
        <v>720</v>
      </c>
      <c r="O418" s="133" t="s">
        <v>721</v>
      </c>
      <c r="P418" s="133" t="s">
        <v>1281</v>
      </c>
      <c r="Q418" s="133" t="s">
        <v>1544</v>
      </c>
      <c r="R418" s="318" t="s">
        <v>3929</v>
      </c>
      <c r="AA418" s="318" t="s">
        <v>3693</v>
      </c>
      <c r="AB418" t="s">
        <v>556</v>
      </c>
    </row>
    <row r="419" spans="2:28">
      <c r="B419" s="182" t="str">
        <f t="shared" si="26"/>
        <v>STRONG 30N biały Automatyczny</v>
      </c>
      <c r="M419" s="133" t="s">
        <v>600</v>
      </c>
      <c r="N419" s="133" t="s">
        <v>722</v>
      </c>
      <c r="O419" s="133" t="s">
        <v>723</v>
      </c>
      <c r="P419" s="133" t="s">
        <v>724</v>
      </c>
      <c r="Q419" s="133" t="s">
        <v>919</v>
      </c>
      <c r="R419" t="s">
        <v>3930</v>
      </c>
      <c r="AA419" s="318" t="s">
        <v>3694</v>
      </c>
      <c r="AB419" t="s">
        <v>4593</v>
      </c>
    </row>
    <row r="420" spans="2:28">
      <c r="B420" s="182" t="str">
        <f t="shared" si="26"/>
        <v>STRONG 60N biały Automatyczny</v>
      </c>
      <c r="M420" s="133" t="s">
        <v>601</v>
      </c>
      <c r="N420" s="133" t="s">
        <v>725</v>
      </c>
      <c r="O420" s="133" t="s">
        <v>726</v>
      </c>
      <c r="P420" s="133" t="s">
        <v>727</v>
      </c>
      <c r="Q420" s="133" t="s">
        <v>920</v>
      </c>
      <c r="R420" t="s">
        <v>3931</v>
      </c>
      <c r="AA420" s="318" t="s">
        <v>3695</v>
      </c>
      <c r="AB420" t="s">
        <v>4594</v>
      </c>
    </row>
    <row r="421" spans="2:28">
      <c r="B421" s="182" t="str">
        <f t="shared" si="26"/>
        <v>STRONG 80N biały Automatyczny</v>
      </c>
      <c r="M421" s="133" t="s">
        <v>602</v>
      </c>
      <c r="N421" s="133" t="s">
        <v>728</v>
      </c>
      <c r="O421" s="133" t="s">
        <v>729</v>
      </c>
      <c r="P421" s="133" t="s">
        <v>730</v>
      </c>
      <c r="Q421" s="133" t="s">
        <v>921</v>
      </c>
      <c r="R421" t="s">
        <v>3932</v>
      </c>
      <c r="AA421" s="318" t="s">
        <v>3696</v>
      </c>
      <c r="AB421" t="s">
        <v>4445</v>
      </c>
    </row>
    <row r="422" spans="2:28">
      <c r="B422" s="182" t="str">
        <f t="shared" si="26"/>
        <v>STRONG 100N biały Automatyczny</v>
      </c>
      <c r="M422" s="133" t="s">
        <v>603</v>
      </c>
      <c r="N422" s="133" t="s">
        <v>731</v>
      </c>
      <c r="O422" s="133" t="s">
        <v>732</v>
      </c>
      <c r="P422" s="133" t="s">
        <v>733</v>
      </c>
      <c r="Q422" s="133" t="s">
        <v>922</v>
      </c>
      <c r="R422" t="s">
        <v>3933</v>
      </c>
      <c r="AA422" s="318" t="s">
        <v>3697</v>
      </c>
      <c r="AB422" t="s">
        <v>4595</v>
      </c>
    </row>
    <row r="423" spans="2:28">
      <c r="B423" s="182" t="str">
        <f t="shared" si="26"/>
        <v>STRONG 120N biały Automatyczny</v>
      </c>
      <c r="M423" s="133" t="s">
        <v>604</v>
      </c>
      <c r="N423" s="133" t="s">
        <v>734</v>
      </c>
      <c r="O423" s="133" t="s">
        <v>735</v>
      </c>
      <c r="P423" s="133" t="s">
        <v>736</v>
      </c>
      <c r="Q423" s="133" t="s">
        <v>923</v>
      </c>
      <c r="R423" t="s">
        <v>3934</v>
      </c>
      <c r="AA423" s="318" t="s">
        <v>3698</v>
      </c>
      <c r="AB423" t="s">
        <v>4596</v>
      </c>
    </row>
    <row r="424" spans="2:28">
      <c r="B424" s="182" t="str">
        <f t="shared" si="26"/>
        <v>STRONG 60N biały do pozycjonowania</v>
      </c>
      <c r="M424" s="133" t="s">
        <v>605</v>
      </c>
      <c r="N424" s="133" t="s">
        <v>737</v>
      </c>
      <c r="O424" s="133" t="s">
        <v>738</v>
      </c>
      <c r="P424" s="133" t="s">
        <v>739</v>
      </c>
      <c r="Q424" s="133" t="s">
        <v>1545</v>
      </c>
      <c r="R424" t="s">
        <v>3935</v>
      </c>
      <c r="AA424" s="318" t="s">
        <v>3699</v>
      </c>
      <c r="AB424" t="s">
        <v>4597</v>
      </c>
    </row>
    <row r="425" spans="2:28">
      <c r="B425" s="182" t="str">
        <f t="shared" si="26"/>
        <v>STRONG 80N biały do pozycjonowania</v>
      </c>
      <c r="M425" s="133" t="s">
        <v>606</v>
      </c>
      <c r="N425" s="133" t="s">
        <v>740</v>
      </c>
      <c r="O425" s="133" t="s">
        <v>741</v>
      </c>
      <c r="P425" s="133" t="s">
        <v>742</v>
      </c>
      <c r="Q425" s="133" t="s">
        <v>1546</v>
      </c>
      <c r="R425" t="s">
        <v>3936</v>
      </c>
      <c r="AA425" s="318" t="s">
        <v>3700</v>
      </c>
      <c r="AB425" t="s">
        <v>4598</v>
      </c>
    </row>
    <row r="426" spans="2:28">
      <c r="B426" s="182" t="str">
        <f t="shared" si="26"/>
        <v>STRONG 100N biały do pozycjonowania</v>
      </c>
      <c r="M426" s="133" t="s">
        <v>607</v>
      </c>
      <c r="N426" s="133" t="s">
        <v>743</v>
      </c>
      <c r="O426" s="133" t="s">
        <v>744</v>
      </c>
      <c r="P426" s="133" t="s">
        <v>745</v>
      </c>
      <c r="Q426" s="133" t="s">
        <v>1547</v>
      </c>
      <c r="R426" t="s">
        <v>3937</v>
      </c>
      <c r="AA426" s="318" t="s">
        <v>3701</v>
      </c>
      <c r="AB426" t="s">
        <v>4599</v>
      </c>
    </row>
    <row r="427" spans="2:28">
      <c r="B427" s="182" t="str">
        <f t="shared" si="26"/>
        <v>STRONG 120N biały do pozycjonowania</v>
      </c>
      <c r="M427" s="133" t="s">
        <v>608</v>
      </c>
      <c r="N427" s="133" t="s">
        <v>746</v>
      </c>
      <c r="O427" s="133" t="s">
        <v>747</v>
      </c>
      <c r="P427" s="133" t="s">
        <v>748</v>
      </c>
      <c r="Q427" s="133" t="s">
        <v>1548</v>
      </c>
      <c r="R427" t="s">
        <v>3938</v>
      </c>
      <c r="AA427" s="318" t="s">
        <v>3702</v>
      </c>
      <c r="AB427" t="s">
        <v>4600</v>
      </c>
    </row>
    <row r="428" spans="2:28">
      <c r="B428" s="182" t="str">
        <f t="shared" ref="B428:B491" si="27">IF($D$1=1,M428,IF($D$1=2,N428,IF($D$1=3,O428,IF($D$1=4,P428,IF($D$1=5,Q428,IF($D$1=6,R428,0))))))</f>
        <v>STRONG 30N szary Automatyczny</v>
      </c>
      <c r="M428" s="133" t="s">
        <v>609</v>
      </c>
      <c r="N428" s="133" t="s">
        <v>609</v>
      </c>
      <c r="O428" s="133" t="s">
        <v>749</v>
      </c>
      <c r="P428" s="133" t="s">
        <v>750</v>
      </c>
      <c r="Q428" s="133" t="s">
        <v>1388</v>
      </c>
      <c r="R428" s="318" t="s">
        <v>3939</v>
      </c>
      <c r="AA428" s="318" t="s">
        <v>3703</v>
      </c>
      <c r="AB428" t="s">
        <v>4601</v>
      </c>
    </row>
    <row r="429" spans="2:28">
      <c r="B429" s="182" t="str">
        <f t="shared" si="27"/>
        <v>STRONG 60N szary Automatyczny</v>
      </c>
      <c r="M429" s="133" t="s">
        <v>610</v>
      </c>
      <c r="N429" s="133" t="s">
        <v>610</v>
      </c>
      <c r="O429" s="133" t="s">
        <v>751</v>
      </c>
      <c r="P429" s="133" t="s">
        <v>752</v>
      </c>
      <c r="Q429" s="133" t="s">
        <v>924</v>
      </c>
      <c r="R429" s="318" t="s">
        <v>3940</v>
      </c>
      <c r="AA429" s="318" t="s">
        <v>3704</v>
      </c>
      <c r="AB429" t="s">
        <v>4602</v>
      </c>
    </row>
    <row r="430" spans="2:28">
      <c r="B430" s="182" t="str">
        <f t="shared" si="27"/>
        <v>STRONG 80N szary Automatyczny</v>
      </c>
      <c r="M430" s="133" t="s">
        <v>611</v>
      </c>
      <c r="N430" s="133" t="s">
        <v>611</v>
      </c>
      <c r="O430" s="133" t="s">
        <v>753</v>
      </c>
      <c r="P430" s="133" t="s">
        <v>754</v>
      </c>
      <c r="Q430" s="133" t="s">
        <v>1389</v>
      </c>
      <c r="R430" s="318" t="s">
        <v>3941</v>
      </c>
      <c r="AA430" s="318" t="s">
        <v>3705</v>
      </c>
      <c r="AB430" t="s">
        <v>4603</v>
      </c>
    </row>
    <row r="431" spans="2:28">
      <c r="B431" s="182" t="str">
        <f t="shared" si="27"/>
        <v>STRONG 100N szary Automatyczny</v>
      </c>
      <c r="M431" s="133" t="s">
        <v>612</v>
      </c>
      <c r="N431" s="133" t="s">
        <v>612</v>
      </c>
      <c r="O431" s="133" t="s">
        <v>755</v>
      </c>
      <c r="P431" s="133" t="s">
        <v>756</v>
      </c>
      <c r="Q431" s="133" t="s">
        <v>925</v>
      </c>
      <c r="R431" s="318" t="s">
        <v>3942</v>
      </c>
      <c r="AA431" s="318" t="s">
        <v>3706</v>
      </c>
      <c r="AB431" t="s">
        <v>4604</v>
      </c>
    </row>
    <row r="432" spans="2:28">
      <c r="B432" s="182" t="str">
        <f t="shared" si="27"/>
        <v>STRONG 120N szary Automatyczny</v>
      </c>
      <c r="M432" s="133" t="s">
        <v>613</v>
      </c>
      <c r="N432" s="133" t="s">
        <v>613</v>
      </c>
      <c r="O432" s="133" t="s">
        <v>757</v>
      </c>
      <c r="P432" s="133" t="s">
        <v>758</v>
      </c>
      <c r="Q432" s="133" t="s">
        <v>926</v>
      </c>
      <c r="R432" s="318" t="s">
        <v>3943</v>
      </c>
      <c r="AA432" s="318" t="s">
        <v>3707</v>
      </c>
      <c r="AB432" t="s">
        <v>4605</v>
      </c>
    </row>
    <row r="433" spans="2:28">
      <c r="B433" s="182" t="str">
        <f t="shared" si="27"/>
        <v>STRONG 60N szary do pozycjonowania</v>
      </c>
      <c r="M433" s="133" t="s">
        <v>614</v>
      </c>
      <c r="N433" s="133" t="s">
        <v>614</v>
      </c>
      <c r="O433" s="133" t="s">
        <v>759</v>
      </c>
      <c r="P433" s="133" t="s">
        <v>760</v>
      </c>
      <c r="Q433" s="133" t="s">
        <v>1549</v>
      </c>
      <c r="R433" s="318" t="s">
        <v>3944</v>
      </c>
      <c r="AA433" s="318" t="s">
        <v>3708</v>
      </c>
      <c r="AB433" t="s">
        <v>4606</v>
      </c>
    </row>
    <row r="434" spans="2:28">
      <c r="B434" s="182" t="str">
        <f t="shared" si="27"/>
        <v>STRONG 80N szary do pozycjonowania</v>
      </c>
      <c r="M434" s="133" t="s">
        <v>615</v>
      </c>
      <c r="N434" s="133" t="s">
        <v>615</v>
      </c>
      <c r="O434" s="133" t="s">
        <v>761</v>
      </c>
      <c r="P434" s="133" t="s">
        <v>762</v>
      </c>
      <c r="Q434" s="133" t="s">
        <v>1550</v>
      </c>
      <c r="R434" s="318" t="s">
        <v>3945</v>
      </c>
      <c r="AA434" s="318" t="s">
        <v>3709</v>
      </c>
      <c r="AB434" t="s">
        <v>4607</v>
      </c>
    </row>
    <row r="435" spans="2:28">
      <c r="B435" s="182" t="str">
        <f t="shared" si="27"/>
        <v>STRONG 100N szary do pozycjonowania</v>
      </c>
      <c r="M435" s="133" t="s">
        <v>616</v>
      </c>
      <c r="N435" s="133" t="s">
        <v>616</v>
      </c>
      <c r="O435" s="133" t="s">
        <v>763</v>
      </c>
      <c r="P435" s="133" t="s">
        <v>764</v>
      </c>
      <c r="Q435" s="133" t="s">
        <v>1551</v>
      </c>
      <c r="R435" s="318" t="s">
        <v>3946</v>
      </c>
      <c r="AA435" s="318" t="s">
        <v>4400</v>
      </c>
      <c r="AB435" t="s">
        <v>4418</v>
      </c>
    </row>
    <row r="436" spans="2:28">
      <c r="B436" s="182" t="str">
        <f t="shared" si="27"/>
        <v>STRONG 120N szary do pozycjonowania</v>
      </c>
      <c r="M436" s="133" t="s">
        <v>617</v>
      </c>
      <c r="N436" s="133" t="s">
        <v>617</v>
      </c>
      <c r="O436" s="133" t="s">
        <v>765</v>
      </c>
      <c r="P436" s="133" t="s">
        <v>766</v>
      </c>
      <c r="Q436" s="133" t="s">
        <v>1390</v>
      </c>
      <c r="R436" s="318" t="s">
        <v>3947</v>
      </c>
      <c r="AA436" s="318" t="s">
        <v>3705</v>
      </c>
      <c r="AB436" t="s">
        <v>4608</v>
      </c>
    </row>
    <row r="437" spans="2:28">
      <c r="B437" s="182" t="str">
        <f t="shared" si="27"/>
        <v>HUWIL DUO</v>
      </c>
      <c r="M437" s="133" t="s">
        <v>618</v>
      </c>
      <c r="N437" s="133" t="s">
        <v>618</v>
      </c>
      <c r="O437" s="133" t="s">
        <v>618</v>
      </c>
      <c r="P437" s="133" t="s">
        <v>618</v>
      </c>
      <c r="Q437" s="133" t="s">
        <v>618</v>
      </c>
      <c r="R437" s="133" t="s">
        <v>618</v>
      </c>
      <c r="AA437" s="318" t="s">
        <v>4425</v>
      </c>
      <c r="AB437" t="s">
        <v>4609</v>
      </c>
    </row>
    <row r="438" spans="2:28">
      <c r="B438" s="182" t="str">
        <f t="shared" si="27"/>
        <v>HUWIL DUO FORTE</v>
      </c>
      <c r="M438" s="133" t="s">
        <v>619</v>
      </c>
      <c r="N438" s="133" t="s">
        <v>619</v>
      </c>
      <c r="O438" s="133" t="s">
        <v>619</v>
      </c>
      <c r="P438" s="133" t="s">
        <v>619</v>
      </c>
      <c r="Q438" s="133" t="s">
        <v>619</v>
      </c>
      <c r="R438" s="133" t="s">
        <v>619</v>
      </c>
      <c r="AA438" s="318" t="s">
        <v>4411</v>
      </c>
      <c r="AB438" t="s">
        <v>4419</v>
      </c>
    </row>
    <row r="439" spans="2:28">
      <c r="B439" s="182" t="str">
        <f t="shared" si="27"/>
        <v>HUWILIFT MAXI</v>
      </c>
      <c r="M439" s="133" t="s">
        <v>620</v>
      </c>
      <c r="N439" s="133" t="s">
        <v>620</v>
      </c>
      <c r="O439" s="133" t="s">
        <v>620</v>
      </c>
      <c r="P439" s="133" t="s">
        <v>620</v>
      </c>
      <c r="Q439" s="133" t="s">
        <v>620</v>
      </c>
      <c r="R439" s="133" t="s">
        <v>620</v>
      </c>
      <c r="AA439" s="318" t="s">
        <v>4417</v>
      </c>
      <c r="AB439" t="s">
        <v>4420</v>
      </c>
    </row>
    <row r="440" spans="2:28">
      <c r="B440" s="182" t="str">
        <f t="shared" si="27"/>
        <v>KRABY 164 45N</v>
      </c>
      <c r="M440" s="133" t="s">
        <v>415</v>
      </c>
      <c r="N440" s="133" t="s">
        <v>415</v>
      </c>
      <c r="O440" s="133" t="s">
        <v>415</v>
      </c>
      <c r="P440" s="133" t="s">
        <v>415</v>
      </c>
      <c r="Q440" s="133" t="s">
        <v>415</v>
      </c>
      <c r="R440" s="133" t="s">
        <v>415</v>
      </c>
      <c r="AA440" s="318" t="s">
        <v>4474</v>
      </c>
      <c r="AB440" t="s">
        <v>4610</v>
      </c>
    </row>
    <row r="441" spans="2:28">
      <c r="B441" s="182" t="str">
        <f t="shared" si="27"/>
        <v>KRABY 164 60N</v>
      </c>
      <c r="M441" s="133" t="s">
        <v>416</v>
      </c>
      <c r="N441" s="133" t="s">
        <v>416</v>
      </c>
      <c r="O441" s="133" t="s">
        <v>416</v>
      </c>
      <c r="P441" s="133" t="s">
        <v>416</v>
      </c>
      <c r="Q441" s="133" t="s">
        <v>416</v>
      </c>
      <c r="R441" s="133" t="s">
        <v>416</v>
      </c>
      <c r="AA441" s="318" t="s">
        <v>4475</v>
      </c>
      <c r="AB441" t="s">
        <v>4611</v>
      </c>
    </row>
    <row r="442" spans="2:28">
      <c r="B442" s="182" t="str">
        <f t="shared" si="27"/>
        <v>KRABY 244 45N</v>
      </c>
      <c r="M442" s="133" t="s">
        <v>417</v>
      </c>
      <c r="N442" s="133" t="s">
        <v>417</v>
      </c>
      <c r="O442" s="133" t="s">
        <v>417</v>
      </c>
      <c r="P442" s="133" t="s">
        <v>417</v>
      </c>
      <c r="Q442" s="133" t="s">
        <v>417</v>
      </c>
      <c r="R442" s="133" t="s">
        <v>417</v>
      </c>
      <c r="AA442" s="318" t="s">
        <v>4476</v>
      </c>
      <c r="AB442" t="s">
        <v>4612</v>
      </c>
    </row>
    <row r="443" spans="2:28">
      <c r="B443" s="182" t="str">
        <f t="shared" si="27"/>
        <v>KRABY 244 60N</v>
      </c>
      <c r="M443" s="133" t="s">
        <v>418</v>
      </c>
      <c r="N443" s="133" t="s">
        <v>418</v>
      </c>
      <c r="O443" s="133" t="s">
        <v>418</v>
      </c>
      <c r="P443" s="133" t="s">
        <v>418</v>
      </c>
      <c r="Q443" s="133" t="s">
        <v>418</v>
      </c>
      <c r="R443" s="133" t="s">
        <v>418</v>
      </c>
      <c r="AA443" s="318" t="s">
        <v>4488</v>
      </c>
      <c r="AB443" t="s">
        <v>4613</v>
      </c>
    </row>
    <row r="444" spans="2:28">
      <c r="B444" s="182" t="str">
        <f t="shared" si="27"/>
        <v>KRABY 244 90N</v>
      </c>
      <c r="M444" s="133" t="s">
        <v>419</v>
      </c>
      <c r="N444" s="133" t="s">
        <v>419</v>
      </c>
      <c r="O444" s="133" t="s">
        <v>419</v>
      </c>
      <c r="P444" s="133" t="s">
        <v>419</v>
      </c>
      <c r="Q444" s="133" t="s">
        <v>419</v>
      </c>
      <c r="R444" s="133" t="s">
        <v>419</v>
      </c>
      <c r="AA444" s="318" t="s">
        <v>4487</v>
      </c>
      <c r="AB444" t="s">
        <v>4614</v>
      </c>
    </row>
    <row r="445" spans="2:28">
      <c r="B445" s="182" t="str">
        <f t="shared" si="27"/>
        <v>KRABY 244 120N</v>
      </c>
      <c r="M445" s="133" t="s">
        <v>420</v>
      </c>
      <c r="N445" s="133" t="s">
        <v>420</v>
      </c>
      <c r="O445" s="133" t="s">
        <v>420</v>
      </c>
      <c r="P445" s="133" t="s">
        <v>420</v>
      </c>
      <c r="Q445" s="133" t="s">
        <v>420</v>
      </c>
      <c r="R445" s="133" t="s">
        <v>420</v>
      </c>
      <c r="AA445" s="318" t="s">
        <v>3710</v>
      </c>
      <c r="AB445" t="s">
        <v>4615</v>
      </c>
    </row>
    <row r="446" spans="2:28">
      <c r="B446" s="182" t="str">
        <f t="shared" si="27"/>
        <v>KRABY 355 45N</v>
      </c>
      <c r="M446" s="133" t="s">
        <v>421</v>
      </c>
      <c r="N446" s="133" t="s">
        <v>421</v>
      </c>
      <c r="O446" s="133" t="s">
        <v>421</v>
      </c>
      <c r="P446" s="133" t="s">
        <v>421</v>
      </c>
      <c r="Q446" s="133" t="s">
        <v>421</v>
      </c>
      <c r="R446" s="133" t="s">
        <v>421</v>
      </c>
      <c r="AA446" s="318" t="s">
        <v>3711</v>
      </c>
      <c r="AB446" t="s">
        <v>4616</v>
      </c>
    </row>
    <row r="447" spans="2:28">
      <c r="B447" s="182" t="str">
        <f t="shared" si="27"/>
        <v>KRABY 355 60N</v>
      </c>
      <c r="M447" s="133" t="s">
        <v>422</v>
      </c>
      <c r="N447" s="133" t="s">
        <v>422</v>
      </c>
      <c r="O447" s="133" t="s">
        <v>422</v>
      </c>
      <c r="P447" s="133" t="s">
        <v>422</v>
      </c>
      <c r="Q447" s="133" t="s">
        <v>422</v>
      </c>
      <c r="R447" s="133" t="s">
        <v>422</v>
      </c>
      <c r="AA447" s="318" t="s">
        <v>3712</v>
      </c>
      <c r="AB447" t="s">
        <v>4617</v>
      </c>
    </row>
    <row r="448" spans="2:28">
      <c r="B448" s="182" t="str">
        <f t="shared" si="27"/>
        <v>KRABY 355 90N</v>
      </c>
      <c r="M448" s="133" t="s">
        <v>423</v>
      </c>
      <c r="N448" s="133" t="s">
        <v>423</v>
      </c>
      <c r="O448" s="133" t="s">
        <v>423</v>
      </c>
      <c r="P448" s="133" t="s">
        <v>423</v>
      </c>
      <c r="Q448" s="133" t="s">
        <v>423</v>
      </c>
      <c r="R448" s="133" t="s">
        <v>423</v>
      </c>
      <c r="AA448" s="318" t="s">
        <v>3713</v>
      </c>
      <c r="AB448" t="s">
        <v>4618</v>
      </c>
    </row>
    <row r="449" spans="2:28">
      <c r="B449" s="182" t="str">
        <f t="shared" si="27"/>
        <v>KRABY 355 120N</v>
      </c>
      <c r="M449" s="133" t="s">
        <v>424</v>
      </c>
      <c r="N449" s="133" t="s">
        <v>424</v>
      </c>
      <c r="O449" s="133" t="s">
        <v>424</v>
      </c>
      <c r="P449" s="133" t="s">
        <v>424</v>
      </c>
      <c r="Q449" s="133" t="s">
        <v>424</v>
      </c>
      <c r="R449" s="133" t="s">
        <v>424</v>
      </c>
      <c r="AA449" s="318" t="s">
        <v>3714</v>
      </c>
      <c r="AB449" t="s">
        <v>4619</v>
      </c>
    </row>
    <row r="450" spans="2:28">
      <c r="B450" s="182" t="str">
        <f t="shared" si="27"/>
        <v>K12 244 50N</v>
      </c>
      <c r="M450" s="133" t="s">
        <v>621</v>
      </c>
      <c r="N450" s="133" t="s">
        <v>621</v>
      </c>
      <c r="O450" s="133" t="s">
        <v>621</v>
      </c>
      <c r="P450" s="133" t="s">
        <v>621</v>
      </c>
      <c r="Q450" s="133" t="s">
        <v>621</v>
      </c>
      <c r="R450" s="133" t="s">
        <v>621</v>
      </c>
      <c r="AA450" s="318" t="s">
        <v>3715</v>
      </c>
      <c r="AB450" t="s">
        <v>4620</v>
      </c>
    </row>
    <row r="451" spans="2:28">
      <c r="B451" s="182" t="str">
        <f t="shared" si="27"/>
        <v>K12 244 80N</v>
      </c>
      <c r="M451" s="133" t="s">
        <v>622</v>
      </c>
      <c r="N451" s="133" t="s">
        <v>622</v>
      </c>
      <c r="O451" s="133" t="s">
        <v>622</v>
      </c>
      <c r="P451" s="133" t="s">
        <v>622</v>
      </c>
      <c r="Q451" s="133" t="s">
        <v>622</v>
      </c>
      <c r="R451" s="133" t="s">
        <v>622</v>
      </c>
      <c r="AA451" s="318" t="s">
        <v>3716</v>
      </c>
      <c r="AB451" s="185" t="s">
        <v>3053</v>
      </c>
    </row>
    <row r="452" spans="2:28">
      <c r="B452" s="182" t="str">
        <f t="shared" si="27"/>
        <v>K12 244 100N</v>
      </c>
      <c r="M452" s="133" t="s">
        <v>623</v>
      </c>
      <c r="N452" s="133" t="s">
        <v>623</v>
      </c>
      <c r="O452" s="133" t="s">
        <v>623</v>
      </c>
      <c r="P452" s="133" t="s">
        <v>623</v>
      </c>
      <c r="Q452" s="133" t="s">
        <v>623</v>
      </c>
      <c r="R452" s="133" t="s">
        <v>623</v>
      </c>
      <c r="AA452" s="318" t="s">
        <v>3717</v>
      </c>
      <c r="AB452" s="185" t="s">
        <v>3054</v>
      </c>
    </row>
    <row r="453" spans="2:28">
      <c r="B453" s="182" t="str">
        <f t="shared" si="27"/>
        <v>K12 244 120N</v>
      </c>
      <c r="M453" s="133" t="s">
        <v>624</v>
      </c>
      <c r="N453" s="133" t="s">
        <v>624</v>
      </c>
      <c r="O453" s="133" t="s">
        <v>624</v>
      </c>
      <c r="P453" s="133" t="s">
        <v>624</v>
      </c>
      <c r="Q453" s="133" t="s">
        <v>624</v>
      </c>
      <c r="R453" s="133" t="s">
        <v>624</v>
      </c>
      <c r="AA453" s="318" t="s">
        <v>3718</v>
      </c>
      <c r="AB453" s="185" t="s">
        <v>3055</v>
      </c>
    </row>
    <row r="454" spans="2:28">
      <c r="B454" s="182" t="str">
        <f t="shared" si="27"/>
        <v>K12 355 60N</v>
      </c>
      <c r="M454" s="133" t="s">
        <v>625</v>
      </c>
      <c r="N454" s="133" t="s">
        <v>625</v>
      </c>
      <c r="O454" s="133" t="s">
        <v>625</v>
      </c>
      <c r="P454" s="133" t="s">
        <v>625</v>
      </c>
      <c r="Q454" s="133" t="s">
        <v>625</v>
      </c>
      <c r="R454" s="133" t="s">
        <v>625</v>
      </c>
      <c r="AA454" s="318" t="s">
        <v>3719</v>
      </c>
      <c r="AB454" s="185" t="s">
        <v>2392</v>
      </c>
    </row>
    <row r="455" spans="2:28">
      <c r="B455" s="182" t="str">
        <f t="shared" si="27"/>
        <v>K12 355 90N</v>
      </c>
      <c r="M455" s="133" t="s">
        <v>626</v>
      </c>
      <c r="N455" s="133" t="s">
        <v>626</v>
      </c>
      <c r="O455" s="133" t="s">
        <v>626</v>
      </c>
      <c r="P455" s="133" t="s">
        <v>626</v>
      </c>
      <c r="Q455" s="133" t="s">
        <v>626</v>
      </c>
      <c r="R455" s="133" t="s">
        <v>626</v>
      </c>
      <c r="AA455" s="318" t="s">
        <v>3720</v>
      </c>
      <c r="AB455" s="185" t="s">
        <v>1235</v>
      </c>
    </row>
    <row r="456" spans="2:28">
      <c r="B456" s="182" t="str">
        <f t="shared" si="27"/>
        <v>K12 355 110N</v>
      </c>
      <c r="M456" s="133" t="s">
        <v>627</v>
      </c>
      <c r="N456" s="133" t="s">
        <v>627</v>
      </c>
      <c r="O456" s="133" t="s">
        <v>627</v>
      </c>
      <c r="P456" s="133" t="s">
        <v>627</v>
      </c>
      <c r="Q456" s="133" t="s">
        <v>627</v>
      </c>
      <c r="R456" s="133" t="s">
        <v>627</v>
      </c>
      <c r="AA456" s="318" t="s">
        <v>3721</v>
      </c>
      <c r="AB456" s="185" t="s">
        <v>1422</v>
      </c>
    </row>
    <row r="457" spans="2:28">
      <c r="B457" s="182" t="str">
        <f t="shared" si="27"/>
        <v>K12 355 130N</v>
      </c>
      <c r="M457" s="133" t="s">
        <v>628</v>
      </c>
      <c r="N457" s="133" t="s">
        <v>628</v>
      </c>
      <c r="O457" s="133" t="s">
        <v>628</v>
      </c>
      <c r="P457" s="133" t="s">
        <v>628</v>
      </c>
      <c r="Q457" s="133" t="s">
        <v>628</v>
      </c>
      <c r="R457" s="133" t="s">
        <v>628</v>
      </c>
    </row>
    <row r="458" spans="2:28">
      <c r="B458" s="182" t="str">
        <f t="shared" si="27"/>
        <v>STRONG dolny biały</v>
      </c>
      <c r="M458" s="133" t="s">
        <v>629</v>
      </c>
      <c r="N458" s="133" t="s">
        <v>767</v>
      </c>
      <c r="O458" s="133" t="s">
        <v>768</v>
      </c>
      <c r="P458" s="133" t="s">
        <v>769</v>
      </c>
      <c r="Q458" s="133" t="s">
        <v>1552</v>
      </c>
      <c r="R458" s="318" t="s">
        <v>4148</v>
      </c>
    </row>
    <row r="459" spans="2:28">
      <c r="B459" s="182" t="str">
        <f t="shared" si="27"/>
        <v>STRONG dolny szary</v>
      </c>
      <c r="M459" s="133" t="s">
        <v>3220</v>
      </c>
      <c r="N459" s="133" t="s">
        <v>770</v>
      </c>
      <c r="O459" s="133" t="s">
        <v>771</v>
      </c>
      <c r="P459" s="133" t="s">
        <v>772</v>
      </c>
      <c r="Q459" s="133" t="s">
        <v>1553</v>
      </c>
      <c r="R459" s="318" t="s">
        <v>4149</v>
      </c>
    </row>
    <row r="460" spans="2:28">
      <c r="B460" s="182" t="str">
        <f t="shared" si="27"/>
        <v xml:space="preserve">HUWIL DUO (90°) </v>
      </c>
      <c r="M460" s="133" t="s">
        <v>631</v>
      </c>
      <c r="N460" s="133" t="s">
        <v>631</v>
      </c>
      <c r="O460" s="133" t="s">
        <v>631</v>
      </c>
      <c r="P460" s="133" t="s">
        <v>631</v>
      </c>
      <c r="Q460" s="133" t="s">
        <v>468</v>
      </c>
      <c r="R460" s="318" t="s">
        <v>468</v>
      </c>
    </row>
    <row r="461" spans="2:28">
      <c r="B461" s="182" t="str">
        <f t="shared" si="27"/>
        <v>HUWIL DUO FORTE</v>
      </c>
      <c r="M461" s="133" t="s">
        <v>619</v>
      </c>
      <c r="N461" s="133" t="s">
        <v>619</v>
      </c>
      <c r="O461" s="133" t="s">
        <v>619</v>
      </c>
      <c r="P461" s="133" t="s">
        <v>619</v>
      </c>
      <c r="Q461" s="133" t="s">
        <v>619</v>
      </c>
      <c r="R461" s="318" t="s">
        <v>619</v>
      </c>
    </row>
    <row r="462" spans="2:28">
      <c r="B462" s="182" t="str">
        <f t="shared" si="27"/>
        <v>KRABY 164 dolny</v>
      </c>
      <c r="M462" s="133" t="s">
        <v>632</v>
      </c>
      <c r="N462" s="133" t="s">
        <v>773</v>
      </c>
      <c r="O462" s="133" t="s">
        <v>774</v>
      </c>
      <c r="P462" s="133" t="s">
        <v>775</v>
      </c>
      <c r="Q462" s="133" t="s">
        <v>1391</v>
      </c>
      <c r="R462" s="318" t="s">
        <v>4150</v>
      </c>
    </row>
    <row r="463" spans="2:28">
      <c r="B463" s="182" t="str">
        <f t="shared" si="27"/>
        <v>KRABY 244 dolny</v>
      </c>
      <c r="M463" s="133" t="s">
        <v>633</v>
      </c>
      <c r="N463" s="133" t="s">
        <v>776</v>
      </c>
      <c r="O463" s="133" t="s">
        <v>777</v>
      </c>
      <c r="P463" s="133" t="s">
        <v>778</v>
      </c>
      <c r="Q463" s="133" t="s">
        <v>1392</v>
      </c>
      <c r="R463" s="318" t="s">
        <v>4151</v>
      </c>
    </row>
    <row r="464" spans="2:28">
      <c r="B464" s="182" t="str">
        <f t="shared" si="27"/>
        <v>KRABY 355 dolny</v>
      </c>
      <c r="M464" s="133" t="s">
        <v>634</v>
      </c>
      <c r="N464" s="133" t="s">
        <v>779</v>
      </c>
      <c r="O464" s="133" t="s">
        <v>780</v>
      </c>
      <c r="P464" s="133" t="s">
        <v>781</v>
      </c>
      <c r="Q464" s="133" t="s">
        <v>1393</v>
      </c>
      <c r="R464" s="318" t="s">
        <v>4152</v>
      </c>
    </row>
    <row r="465" spans="2:18">
      <c r="B465" s="182" t="str">
        <f t="shared" si="27"/>
        <v>STRONG 30N biały Automatyczny</v>
      </c>
      <c r="M465" s="133" t="s">
        <v>600</v>
      </c>
      <c r="N465" s="133" t="s">
        <v>722</v>
      </c>
      <c r="O465" s="133" t="s">
        <v>723</v>
      </c>
      <c r="P465" s="133" t="s">
        <v>724</v>
      </c>
      <c r="Q465" s="133" t="s">
        <v>919</v>
      </c>
      <c r="R465" s="318" t="s">
        <v>3930</v>
      </c>
    </row>
    <row r="466" spans="2:18">
      <c r="B466" s="182" t="str">
        <f t="shared" si="27"/>
        <v>STRONG 60N biały Automatyczny</v>
      </c>
      <c r="M466" s="133" t="s">
        <v>601</v>
      </c>
      <c r="N466" s="133" t="s">
        <v>725</v>
      </c>
      <c r="O466" s="133" t="s">
        <v>726</v>
      </c>
      <c r="P466" s="133" t="s">
        <v>727</v>
      </c>
      <c r="Q466" s="133" t="s">
        <v>920</v>
      </c>
      <c r="R466" s="318" t="s">
        <v>3931</v>
      </c>
    </row>
    <row r="467" spans="2:18">
      <c r="B467" s="182" t="str">
        <f t="shared" si="27"/>
        <v>STRONG 80N biały Automatyczny</v>
      </c>
      <c r="M467" s="133" t="s">
        <v>602</v>
      </c>
      <c r="N467" s="133" t="s">
        <v>728</v>
      </c>
      <c r="O467" s="133" t="s">
        <v>729</v>
      </c>
      <c r="P467" s="133" t="s">
        <v>730</v>
      </c>
      <c r="Q467" s="133" t="s">
        <v>921</v>
      </c>
      <c r="R467" s="318" t="s">
        <v>3932</v>
      </c>
    </row>
    <row r="468" spans="2:18">
      <c r="B468" s="182" t="str">
        <f t="shared" si="27"/>
        <v>STRONG 100N biały Automatyczny</v>
      </c>
      <c r="M468" s="133" t="s">
        <v>603</v>
      </c>
      <c r="N468" s="133" t="s">
        <v>731</v>
      </c>
      <c r="O468" s="133" t="s">
        <v>732</v>
      </c>
      <c r="P468" s="133" t="s">
        <v>733</v>
      </c>
      <c r="Q468" s="133" t="s">
        <v>922</v>
      </c>
      <c r="R468" s="318" t="s">
        <v>3933</v>
      </c>
    </row>
    <row r="469" spans="2:18">
      <c r="B469" s="182" t="str">
        <f t="shared" si="27"/>
        <v>STRONG 120N biały Automatyczny</v>
      </c>
      <c r="M469" s="133" t="s">
        <v>604</v>
      </c>
      <c r="N469" s="133" t="s">
        <v>734</v>
      </c>
      <c r="O469" s="133" t="s">
        <v>735</v>
      </c>
      <c r="P469" s="133" t="s">
        <v>736</v>
      </c>
      <c r="Q469" s="133" t="s">
        <v>923</v>
      </c>
      <c r="R469" s="318" t="s">
        <v>3934</v>
      </c>
    </row>
    <row r="470" spans="2:18">
      <c r="B470" s="182" t="str">
        <f t="shared" si="27"/>
        <v>STRONG 60N biały do pozycjonowania</v>
      </c>
      <c r="M470" s="133" t="s">
        <v>605</v>
      </c>
      <c r="N470" s="133" t="s">
        <v>737</v>
      </c>
      <c r="O470" s="133" t="s">
        <v>738</v>
      </c>
      <c r="P470" s="133" t="s">
        <v>739</v>
      </c>
      <c r="Q470" s="133" t="s">
        <v>1545</v>
      </c>
      <c r="R470" s="318" t="s">
        <v>3935</v>
      </c>
    </row>
    <row r="471" spans="2:18">
      <c r="B471" s="182" t="str">
        <f t="shared" si="27"/>
        <v>STRONG 80N biały do pozycjonowania</v>
      </c>
      <c r="M471" s="133" t="s">
        <v>606</v>
      </c>
      <c r="N471" s="133" t="s">
        <v>740</v>
      </c>
      <c r="O471" s="133" t="s">
        <v>741</v>
      </c>
      <c r="P471" s="133" t="s">
        <v>742</v>
      </c>
      <c r="Q471" s="133" t="s">
        <v>1546</v>
      </c>
      <c r="R471" s="318" t="s">
        <v>3936</v>
      </c>
    </row>
    <row r="472" spans="2:18">
      <c r="B472" s="182" t="str">
        <f t="shared" si="27"/>
        <v>STRONG 100N biały do pozycjonowania</v>
      </c>
      <c r="M472" s="133" t="s">
        <v>607</v>
      </c>
      <c r="N472" s="133" t="s">
        <v>743</v>
      </c>
      <c r="O472" s="133" t="s">
        <v>744</v>
      </c>
      <c r="P472" s="133" t="s">
        <v>745</v>
      </c>
      <c r="Q472" s="133" t="s">
        <v>1547</v>
      </c>
      <c r="R472" s="318" t="s">
        <v>3937</v>
      </c>
    </row>
    <row r="473" spans="2:18">
      <c r="B473" s="182" t="str">
        <f t="shared" si="27"/>
        <v>STRONG 120N biały do pozycjonowania</v>
      </c>
      <c r="M473" s="133" t="s">
        <v>608</v>
      </c>
      <c r="N473" s="133" t="s">
        <v>746</v>
      </c>
      <c r="O473" s="133" t="s">
        <v>747</v>
      </c>
      <c r="P473" s="133" t="s">
        <v>748</v>
      </c>
      <c r="Q473" s="133" t="s">
        <v>1548</v>
      </c>
      <c r="R473" s="318" t="s">
        <v>3938</v>
      </c>
    </row>
    <row r="474" spans="2:18">
      <c r="B474" s="182" t="str">
        <f t="shared" si="27"/>
        <v>STRONG 30N szary Automatyczny</v>
      </c>
      <c r="M474" s="133" t="s">
        <v>609</v>
      </c>
      <c r="N474" s="133" t="s">
        <v>609</v>
      </c>
      <c r="O474" s="133" t="s">
        <v>749</v>
      </c>
      <c r="P474" s="133" t="s">
        <v>750</v>
      </c>
      <c r="Q474" s="133" t="s">
        <v>1388</v>
      </c>
      <c r="R474" s="318" t="s">
        <v>3939</v>
      </c>
    </row>
    <row r="475" spans="2:18">
      <c r="B475" s="182" t="str">
        <f t="shared" si="27"/>
        <v>STRONG 60N szary Automatyczny</v>
      </c>
      <c r="M475" s="133" t="s">
        <v>610</v>
      </c>
      <c r="N475" s="133" t="s">
        <v>610</v>
      </c>
      <c r="O475" s="133" t="s">
        <v>751</v>
      </c>
      <c r="P475" s="133" t="s">
        <v>752</v>
      </c>
      <c r="Q475" s="133" t="s">
        <v>924</v>
      </c>
      <c r="R475" s="318" t="s">
        <v>3940</v>
      </c>
    </row>
    <row r="476" spans="2:18">
      <c r="B476" s="182" t="str">
        <f t="shared" si="27"/>
        <v>STRONG 80N szary Automatyczny</v>
      </c>
      <c r="M476" s="133" t="s">
        <v>611</v>
      </c>
      <c r="N476" s="133" t="s">
        <v>611</v>
      </c>
      <c r="O476" s="133" t="s">
        <v>753</v>
      </c>
      <c r="P476" s="133" t="s">
        <v>754</v>
      </c>
      <c r="Q476" s="133" t="s">
        <v>1389</v>
      </c>
      <c r="R476" s="318" t="s">
        <v>3941</v>
      </c>
    </row>
    <row r="477" spans="2:18">
      <c r="B477" s="182" t="str">
        <f t="shared" si="27"/>
        <v>STRONG 100N szary Automatyczny</v>
      </c>
      <c r="M477" s="133" t="s">
        <v>612</v>
      </c>
      <c r="N477" s="133" t="s">
        <v>612</v>
      </c>
      <c r="O477" s="133" t="s">
        <v>755</v>
      </c>
      <c r="P477" s="133" t="s">
        <v>756</v>
      </c>
      <c r="Q477" s="133" t="s">
        <v>925</v>
      </c>
      <c r="R477" s="318" t="s">
        <v>3942</v>
      </c>
    </row>
    <row r="478" spans="2:18">
      <c r="B478" s="182" t="str">
        <f t="shared" si="27"/>
        <v>STRONG 120N szary Automatyczny</v>
      </c>
      <c r="M478" s="133" t="s">
        <v>613</v>
      </c>
      <c r="N478" s="133" t="s">
        <v>613</v>
      </c>
      <c r="O478" s="133" t="s">
        <v>757</v>
      </c>
      <c r="P478" s="133" t="s">
        <v>758</v>
      </c>
      <c r="Q478" s="133" t="s">
        <v>926</v>
      </c>
      <c r="R478" s="318" t="s">
        <v>3943</v>
      </c>
    </row>
    <row r="479" spans="2:18">
      <c r="B479" s="182" t="str">
        <f t="shared" si="27"/>
        <v>STRONG 60N szary do pozycjonowania</v>
      </c>
      <c r="M479" s="133" t="s">
        <v>614</v>
      </c>
      <c r="N479" s="133" t="s">
        <v>614</v>
      </c>
      <c r="O479" s="133" t="s">
        <v>759</v>
      </c>
      <c r="P479" s="133" t="s">
        <v>760</v>
      </c>
      <c r="Q479" s="133" t="s">
        <v>1549</v>
      </c>
      <c r="R479" s="318" t="s">
        <v>3944</v>
      </c>
    </row>
    <row r="480" spans="2:18">
      <c r="B480" s="182" t="str">
        <f t="shared" si="27"/>
        <v>STRONG 80N szary do pozycjonowania</v>
      </c>
      <c r="M480" s="133" t="s">
        <v>615</v>
      </c>
      <c r="N480" s="133" t="s">
        <v>615</v>
      </c>
      <c r="O480" s="133" t="s">
        <v>761</v>
      </c>
      <c r="P480" s="133" t="s">
        <v>762</v>
      </c>
      <c r="Q480" s="133" t="s">
        <v>1550</v>
      </c>
      <c r="R480" s="318" t="s">
        <v>3945</v>
      </c>
    </row>
    <row r="481" spans="2:18">
      <c r="B481" s="182" t="str">
        <f t="shared" si="27"/>
        <v>STRONG 100N szary do pozycjonowania</v>
      </c>
      <c r="M481" s="133" t="s">
        <v>616</v>
      </c>
      <c r="N481" s="133" t="s">
        <v>616</v>
      </c>
      <c r="O481" s="133" t="s">
        <v>763</v>
      </c>
      <c r="P481" s="133" t="s">
        <v>764</v>
      </c>
      <c r="Q481" s="133" t="s">
        <v>1551</v>
      </c>
      <c r="R481" s="318" t="s">
        <v>3946</v>
      </c>
    </row>
    <row r="482" spans="2:18">
      <c r="B482" s="182" t="str">
        <f t="shared" si="27"/>
        <v>STRONG 120N szary do pozycjonowania</v>
      </c>
      <c r="M482" s="133" t="s">
        <v>617</v>
      </c>
      <c r="N482" s="133" t="s">
        <v>617</v>
      </c>
      <c r="O482" s="133" t="s">
        <v>765</v>
      </c>
      <c r="P482" s="133" t="s">
        <v>766</v>
      </c>
      <c r="Q482" s="133" t="s">
        <v>1390</v>
      </c>
      <c r="R482" s="318" t="s">
        <v>3947</v>
      </c>
    </row>
    <row r="483" spans="2:18">
      <c r="B483" s="182" t="str">
        <f t="shared" si="27"/>
        <v>HUWIL DUO</v>
      </c>
      <c r="M483" s="133" t="s">
        <v>618</v>
      </c>
      <c r="N483" s="133" t="s">
        <v>618</v>
      </c>
      <c r="O483" s="133" t="s">
        <v>618</v>
      </c>
      <c r="P483" s="133" t="s">
        <v>618</v>
      </c>
      <c r="Q483" s="133" t="s">
        <v>618</v>
      </c>
      <c r="R483" s="318" t="s">
        <v>618</v>
      </c>
    </row>
    <row r="484" spans="2:18">
      <c r="B484" s="182" t="str">
        <f t="shared" si="27"/>
        <v>HUWILIFT MAXI</v>
      </c>
      <c r="M484" s="133" t="s">
        <v>620</v>
      </c>
      <c r="N484" s="133" t="s">
        <v>620</v>
      </c>
      <c r="O484" s="133" t="s">
        <v>620</v>
      </c>
      <c r="P484" s="133" t="s">
        <v>620</v>
      </c>
      <c r="Q484" s="133" t="s">
        <v>620</v>
      </c>
      <c r="R484" s="318" t="s">
        <v>620</v>
      </c>
    </row>
    <row r="485" spans="2:18">
      <c r="B485" s="182" t="str">
        <f t="shared" si="27"/>
        <v>KRABY 164 45N</v>
      </c>
      <c r="M485" s="133" t="s">
        <v>415</v>
      </c>
      <c r="N485" s="133" t="s">
        <v>415</v>
      </c>
      <c r="O485" s="133" t="s">
        <v>415</v>
      </c>
      <c r="P485" s="133" t="s">
        <v>415</v>
      </c>
      <c r="Q485" s="133" t="s">
        <v>415</v>
      </c>
      <c r="R485" s="318" t="s">
        <v>415</v>
      </c>
    </row>
    <row r="486" spans="2:18">
      <c r="B486" s="182" t="str">
        <f t="shared" si="27"/>
        <v>KRABY 164 60N</v>
      </c>
      <c r="M486" s="133" t="s">
        <v>416</v>
      </c>
      <c r="N486" s="133" t="s">
        <v>416</v>
      </c>
      <c r="O486" s="133" t="s">
        <v>416</v>
      </c>
      <c r="P486" s="133" t="s">
        <v>416</v>
      </c>
      <c r="Q486" s="133" t="s">
        <v>416</v>
      </c>
      <c r="R486" s="318" t="s">
        <v>416</v>
      </c>
    </row>
    <row r="487" spans="2:18">
      <c r="B487" s="182" t="str">
        <f t="shared" si="27"/>
        <v>KRABY 244 45N</v>
      </c>
      <c r="M487" s="133" t="s">
        <v>417</v>
      </c>
      <c r="N487" s="133" t="s">
        <v>417</v>
      </c>
      <c r="O487" s="133" t="s">
        <v>417</v>
      </c>
      <c r="P487" s="133" t="s">
        <v>417</v>
      </c>
      <c r="Q487" s="133" t="s">
        <v>417</v>
      </c>
      <c r="R487" s="318" t="s">
        <v>417</v>
      </c>
    </row>
    <row r="488" spans="2:18">
      <c r="B488" s="182" t="str">
        <f t="shared" si="27"/>
        <v>KRABY 244 60N</v>
      </c>
      <c r="M488" s="133" t="s">
        <v>418</v>
      </c>
      <c r="N488" s="133" t="s">
        <v>418</v>
      </c>
      <c r="O488" s="133" t="s">
        <v>418</v>
      </c>
      <c r="P488" s="133" t="s">
        <v>418</v>
      </c>
      <c r="Q488" s="133" t="s">
        <v>418</v>
      </c>
      <c r="R488" s="318" t="s">
        <v>418</v>
      </c>
    </row>
    <row r="489" spans="2:18">
      <c r="B489" s="182" t="str">
        <f t="shared" si="27"/>
        <v>KRABY 244 90N</v>
      </c>
      <c r="M489" s="133" t="s">
        <v>419</v>
      </c>
      <c r="N489" s="133" t="s">
        <v>419</v>
      </c>
      <c r="O489" s="133" t="s">
        <v>419</v>
      </c>
      <c r="P489" s="133" t="s">
        <v>419</v>
      </c>
      <c r="Q489" s="133" t="s">
        <v>419</v>
      </c>
      <c r="R489" s="318" t="s">
        <v>419</v>
      </c>
    </row>
    <row r="490" spans="2:18">
      <c r="B490" s="182" t="str">
        <f t="shared" si="27"/>
        <v>KRABY 244 120N</v>
      </c>
      <c r="M490" s="133" t="s">
        <v>420</v>
      </c>
      <c r="N490" s="133" t="s">
        <v>420</v>
      </c>
      <c r="O490" s="133" t="s">
        <v>420</v>
      </c>
      <c r="P490" s="133" t="s">
        <v>420</v>
      </c>
      <c r="Q490" s="133" t="s">
        <v>420</v>
      </c>
      <c r="R490" s="318" t="s">
        <v>420</v>
      </c>
    </row>
    <row r="491" spans="2:18">
      <c r="B491" s="182" t="str">
        <f t="shared" si="27"/>
        <v>KRABY 355 45N</v>
      </c>
      <c r="M491" s="133" t="s">
        <v>421</v>
      </c>
      <c r="N491" s="133" t="s">
        <v>421</v>
      </c>
      <c r="O491" s="133" t="s">
        <v>421</v>
      </c>
      <c r="P491" s="133" t="s">
        <v>421</v>
      </c>
      <c r="Q491" s="133" t="s">
        <v>421</v>
      </c>
      <c r="R491" s="318" t="s">
        <v>421</v>
      </c>
    </row>
    <row r="492" spans="2:18">
      <c r="B492" s="182" t="str">
        <f t="shared" ref="B492:B555" si="28">IF($D$1=1,M492,IF($D$1=2,N492,IF($D$1=3,O492,IF($D$1=4,P492,IF($D$1=5,Q492,IF($D$1=6,R492,0))))))</f>
        <v>KRABY 355 60N</v>
      </c>
      <c r="M492" s="133" t="s">
        <v>422</v>
      </c>
      <c r="N492" s="133" t="s">
        <v>422</v>
      </c>
      <c r="O492" s="133" t="s">
        <v>422</v>
      </c>
      <c r="P492" s="133" t="s">
        <v>422</v>
      </c>
      <c r="Q492" s="133" t="s">
        <v>422</v>
      </c>
      <c r="R492" s="318" t="s">
        <v>422</v>
      </c>
    </row>
    <row r="493" spans="2:18">
      <c r="B493" s="182" t="str">
        <f t="shared" si="28"/>
        <v>KRABY 355 90N</v>
      </c>
      <c r="M493" s="133" t="s">
        <v>423</v>
      </c>
      <c r="N493" s="133" t="s">
        <v>423</v>
      </c>
      <c r="O493" s="133" t="s">
        <v>423</v>
      </c>
      <c r="P493" s="133" t="s">
        <v>423</v>
      </c>
      <c r="Q493" s="133" t="s">
        <v>423</v>
      </c>
      <c r="R493" s="318" t="s">
        <v>423</v>
      </c>
    </row>
    <row r="494" spans="2:18">
      <c r="B494" s="182" t="str">
        <f t="shared" si="28"/>
        <v>KRABY 355 120N</v>
      </c>
      <c r="M494" s="133" t="s">
        <v>424</v>
      </c>
      <c r="N494" s="133" t="s">
        <v>424</v>
      </c>
      <c r="O494" s="133" t="s">
        <v>424</v>
      </c>
      <c r="P494" s="133" t="s">
        <v>424</v>
      </c>
      <c r="Q494" s="133" t="s">
        <v>424</v>
      </c>
      <c r="R494" s="318" t="s">
        <v>424</v>
      </c>
    </row>
    <row r="495" spans="2:18">
      <c r="B495" s="182" t="str">
        <f t="shared" si="28"/>
        <v>K12 244 50N</v>
      </c>
      <c r="M495" s="133" t="s">
        <v>621</v>
      </c>
      <c r="N495" s="133" t="s">
        <v>621</v>
      </c>
      <c r="O495" s="133" t="s">
        <v>621</v>
      </c>
      <c r="P495" s="133" t="s">
        <v>621</v>
      </c>
      <c r="Q495" s="133" t="s">
        <v>621</v>
      </c>
      <c r="R495" s="318" t="s">
        <v>621</v>
      </c>
    </row>
    <row r="496" spans="2:18">
      <c r="B496" s="182" t="str">
        <f t="shared" si="28"/>
        <v>K12 244 80N</v>
      </c>
      <c r="M496" s="133" t="s">
        <v>622</v>
      </c>
      <c r="N496" s="133" t="s">
        <v>622</v>
      </c>
      <c r="O496" s="133" t="s">
        <v>622</v>
      </c>
      <c r="P496" s="133" t="s">
        <v>622</v>
      </c>
      <c r="Q496" s="133" t="s">
        <v>622</v>
      </c>
      <c r="R496" s="318" t="s">
        <v>622</v>
      </c>
    </row>
    <row r="497" spans="2:18">
      <c r="B497" s="182" t="str">
        <f t="shared" si="28"/>
        <v>K12 244 100N</v>
      </c>
      <c r="M497" s="133" t="s">
        <v>623</v>
      </c>
      <c r="N497" s="133" t="s">
        <v>623</v>
      </c>
      <c r="O497" s="133" t="s">
        <v>623</v>
      </c>
      <c r="P497" s="133" t="s">
        <v>623</v>
      </c>
      <c r="Q497" s="133" t="s">
        <v>623</v>
      </c>
      <c r="R497" s="318" t="s">
        <v>623</v>
      </c>
    </row>
    <row r="498" spans="2:18">
      <c r="B498" s="182" t="str">
        <f t="shared" si="28"/>
        <v>K12 244 120N</v>
      </c>
      <c r="M498" s="133" t="s">
        <v>624</v>
      </c>
      <c r="N498" s="133" t="s">
        <v>624</v>
      </c>
      <c r="O498" s="133" t="s">
        <v>624</v>
      </c>
      <c r="P498" s="133" t="s">
        <v>624</v>
      </c>
      <c r="Q498" s="133" t="s">
        <v>624</v>
      </c>
      <c r="R498" s="318" t="s">
        <v>624</v>
      </c>
    </row>
    <row r="499" spans="2:18">
      <c r="B499" s="182" t="str">
        <f t="shared" si="28"/>
        <v>K12 355 60N</v>
      </c>
      <c r="M499" s="133" t="s">
        <v>625</v>
      </c>
      <c r="N499" s="133" t="s">
        <v>625</v>
      </c>
      <c r="O499" s="133" t="s">
        <v>625</v>
      </c>
      <c r="P499" s="133" t="s">
        <v>625</v>
      </c>
      <c r="Q499" s="133" t="s">
        <v>625</v>
      </c>
      <c r="R499" s="318" t="s">
        <v>625</v>
      </c>
    </row>
    <row r="500" spans="2:18">
      <c r="B500" s="182" t="str">
        <f t="shared" si="28"/>
        <v>K12 355 90N</v>
      </c>
      <c r="M500" s="133" t="s">
        <v>626</v>
      </c>
      <c r="N500" s="133" t="s">
        <v>626</v>
      </c>
      <c r="O500" s="133" t="s">
        <v>626</v>
      </c>
      <c r="P500" s="133" t="s">
        <v>626</v>
      </c>
      <c r="Q500" s="133" t="s">
        <v>626</v>
      </c>
      <c r="R500" s="318" t="s">
        <v>626</v>
      </c>
    </row>
    <row r="501" spans="2:18">
      <c r="B501" s="182" t="str">
        <f t="shared" si="28"/>
        <v>K12 355 110N</v>
      </c>
      <c r="M501" s="133" t="s">
        <v>627</v>
      </c>
      <c r="N501" s="133" t="s">
        <v>627</v>
      </c>
      <c r="O501" s="133" t="s">
        <v>627</v>
      </c>
      <c r="P501" s="133" t="s">
        <v>627</v>
      </c>
      <c r="Q501" s="133" t="s">
        <v>627</v>
      </c>
      <c r="R501" s="318" t="s">
        <v>627</v>
      </c>
    </row>
    <row r="502" spans="2:18">
      <c r="B502" s="182" t="str">
        <f t="shared" si="28"/>
        <v>K12 355 130N</v>
      </c>
      <c r="M502" s="133" t="s">
        <v>628</v>
      </c>
      <c r="N502" s="133" t="s">
        <v>628</v>
      </c>
      <c r="O502" s="133" t="s">
        <v>628</v>
      </c>
      <c r="P502" s="133" t="s">
        <v>628</v>
      </c>
      <c r="Q502" s="133" t="s">
        <v>628</v>
      </c>
      <c r="R502" s="318" t="s">
        <v>628</v>
      </c>
    </row>
    <row r="503" spans="2:18">
      <c r="B503" s="182" t="str">
        <f t="shared" si="28"/>
        <v>STRONG dolny biały</v>
      </c>
      <c r="M503" s="133" t="s">
        <v>629</v>
      </c>
      <c r="N503" s="133" t="s">
        <v>767</v>
      </c>
      <c r="O503" s="133" t="s">
        <v>768</v>
      </c>
      <c r="P503" s="133" t="s">
        <v>769</v>
      </c>
      <c r="Q503" s="133" t="s">
        <v>1552</v>
      </c>
      <c r="R503" s="318" t="s">
        <v>4148</v>
      </c>
    </row>
    <row r="504" spans="2:18">
      <c r="B504" s="182" t="str">
        <f t="shared" si="28"/>
        <v>STRONG dolny szary</v>
      </c>
      <c r="M504" s="133" t="s">
        <v>630</v>
      </c>
      <c r="N504" s="133" t="s">
        <v>770</v>
      </c>
      <c r="O504" s="133" t="s">
        <v>771</v>
      </c>
      <c r="P504" s="133" t="s">
        <v>772</v>
      </c>
      <c r="Q504" s="133" t="s">
        <v>1553</v>
      </c>
      <c r="R504" s="318" t="s">
        <v>4153</v>
      </c>
    </row>
    <row r="505" spans="2:18">
      <c r="B505" s="182" t="str">
        <f t="shared" si="28"/>
        <v xml:space="preserve">HUWIL DUO (90°) </v>
      </c>
      <c r="M505" s="133" t="s">
        <v>631</v>
      </c>
      <c r="N505" s="133" t="s">
        <v>631</v>
      </c>
      <c r="O505" s="133" t="s">
        <v>631</v>
      </c>
      <c r="P505" s="133" t="s">
        <v>631</v>
      </c>
      <c r="Q505" s="133" t="s">
        <v>468</v>
      </c>
      <c r="R505" s="318" t="s">
        <v>468</v>
      </c>
    </row>
    <row r="506" spans="2:18">
      <c r="B506" s="182" t="str">
        <f t="shared" si="28"/>
        <v>HUWIL DUO FORTE</v>
      </c>
      <c r="M506" s="133" t="s">
        <v>619</v>
      </c>
      <c r="N506" s="133" t="s">
        <v>619</v>
      </c>
      <c r="O506" s="133" t="s">
        <v>619</v>
      </c>
      <c r="P506" s="133" t="s">
        <v>619</v>
      </c>
      <c r="Q506" s="133" t="s">
        <v>619</v>
      </c>
      <c r="R506" s="318" t="s">
        <v>619</v>
      </c>
    </row>
    <row r="507" spans="2:18">
      <c r="B507" s="182" t="str">
        <f t="shared" si="28"/>
        <v>KRABY 164 dolny</v>
      </c>
      <c r="M507" s="133" t="s">
        <v>632</v>
      </c>
      <c r="N507" s="133" t="s">
        <v>773</v>
      </c>
      <c r="O507" s="133" t="s">
        <v>774</v>
      </c>
      <c r="P507" s="133" t="s">
        <v>775</v>
      </c>
      <c r="Q507" s="133" t="s">
        <v>1391</v>
      </c>
      <c r="R507" s="318" t="s">
        <v>4150</v>
      </c>
    </row>
    <row r="508" spans="2:18">
      <c r="B508" s="182" t="str">
        <f t="shared" si="28"/>
        <v>KRABY 244 dolny</v>
      </c>
      <c r="M508" s="133" t="s">
        <v>633</v>
      </c>
      <c r="N508" s="133" t="s">
        <v>776</v>
      </c>
      <c r="O508" s="133" t="s">
        <v>777</v>
      </c>
      <c r="P508" s="133" t="s">
        <v>778</v>
      </c>
      <c r="Q508" s="133" t="s">
        <v>1392</v>
      </c>
      <c r="R508" s="318" t="s">
        <v>4151</v>
      </c>
    </row>
    <row r="509" spans="2:18">
      <c r="B509" s="182" t="str">
        <f t="shared" si="28"/>
        <v>KRABY 355 dolny</v>
      </c>
      <c r="M509" s="133" t="s">
        <v>634</v>
      </c>
      <c r="N509" s="133" t="s">
        <v>779</v>
      </c>
      <c r="O509" s="133" t="s">
        <v>780</v>
      </c>
      <c r="P509" s="133" t="s">
        <v>781</v>
      </c>
      <c r="Q509" s="133" t="s">
        <v>1393</v>
      </c>
      <c r="R509" s="318" t="s">
        <v>4152</v>
      </c>
    </row>
    <row r="510" spans="2:18">
      <c r="B510" s="182" t="str">
        <f t="shared" si="28"/>
        <v>nasuwany na wkręt H0</v>
      </c>
      <c r="M510" s="133" t="s">
        <v>640</v>
      </c>
      <c r="N510" s="133" t="s">
        <v>782</v>
      </c>
      <c r="O510" s="133" t="s">
        <v>783</v>
      </c>
      <c r="P510" s="133" t="s">
        <v>1282</v>
      </c>
      <c r="Q510" s="133" t="s">
        <v>1554</v>
      </c>
      <c r="R510" s="318" t="s">
        <v>4154</v>
      </c>
    </row>
    <row r="511" spans="2:18">
      <c r="B511" s="182" t="str">
        <f t="shared" si="28"/>
        <v>nasuwany EURO wkręt H0</v>
      </c>
      <c r="M511" s="133" t="s">
        <v>641</v>
      </c>
      <c r="N511" s="133" t="s">
        <v>784</v>
      </c>
      <c r="O511" s="133" t="s">
        <v>785</v>
      </c>
      <c r="P511" s="133" t="s">
        <v>1283</v>
      </c>
      <c r="Q511" s="133" t="s">
        <v>1555</v>
      </c>
      <c r="R511" s="318" t="s">
        <v>4155</v>
      </c>
    </row>
    <row r="512" spans="2:18">
      <c r="B512" s="182" t="str">
        <f t="shared" si="28"/>
        <v>nasuwany na wkręt H2</v>
      </c>
      <c r="M512" s="133" t="s">
        <v>642</v>
      </c>
      <c r="N512" s="133" t="s">
        <v>786</v>
      </c>
      <c r="O512" s="133" t="s">
        <v>787</v>
      </c>
      <c r="P512" s="133" t="s">
        <v>788</v>
      </c>
      <c r="Q512" s="133" t="s">
        <v>1556</v>
      </c>
      <c r="R512" s="318" t="s">
        <v>4156</v>
      </c>
    </row>
    <row r="513" spans="2:18">
      <c r="B513" s="182" t="str">
        <f t="shared" si="28"/>
        <v>nasuwany EURO wkręt H2</v>
      </c>
      <c r="M513" s="133" t="s">
        <v>643</v>
      </c>
      <c r="N513" s="133" t="s">
        <v>789</v>
      </c>
      <c r="O513" s="133" t="s">
        <v>790</v>
      </c>
      <c r="P513" s="133" t="s">
        <v>1284</v>
      </c>
      <c r="Q513" s="133" t="s">
        <v>1557</v>
      </c>
      <c r="R513" s="318" t="s">
        <v>4157</v>
      </c>
    </row>
    <row r="514" spans="2:18">
      <c r="B514" s="182" t="str">
        <f t="shared" si="28"/>
        <v>Clip na wkręt H2</v>
      </c>
      <c r="M514" s="133" t="s">
        <v>87</v>
      </c>
      <c r="N514" s="133" t="s">
        <v>164</v>
      </c>
      <c r="O514" s="133" t="s">
        <v>225</v>
      </c>
      <c r="P514" s="133" t="s">
        <v>288</v>
      </c>
      <c r="Q514" s="133" t="s">
        <v>1455</v>
      </c>
      <c r="R514" s="318" t="s">
        <v>4158</v>
      </c>
    </row>
    <row r="515" spans="2:18">
      <c r="B515" s="182" t="str">
        <f t="shared" si="28"/>
        <v>Clip wkręt z mimośrodem H0</v>
      </c>
      <c r="M515" s="133" t="s">
        <v>644</v>
      </c>
      <c r="N515" s="133" t="s">
        <v>791</v>
      </c>
      <c r="O515" s="133" t="s">
        <v>792</v>
      </c>
      <c r="P515" s="133" t="s">
        <v>842</v>
      </c>
      <c r="Q515" s="133" t="s">
        <v>1558</v>
      </c>
      <c r="R515" s="318" t="s">
        <v>4159</v>
      </c>
    </row>
    <row r="516" spans="2:18">
      <c r="B516" s="182" t="str">
        <f t="shared" si="28"/>
        <v>Clip na wkręt H0</v>
      </c>
      <c r="M516" s="133" t="s">
        <v>85</v>
      </c>
      <c r="N516" s="133" t="s">
        <v>180</v>
      </c>
      <c r="O516" s="133" t="s">
        <v>241</v>
      </c>
      <c r="P516" s="133" t="s">
        <v>304</v>
      </c>
      <c r="Q516" s="133" t="s">
        <v>1474</v>
      </c>
      <c r="R516" s="318" t="s">
        <v>4160</v>
      </c>
    </row>
    <row r="517" spans="2:18">
      <c r="B517" s="182" t="str">
        <f t="shared" si="28"/>
        <v>Minimalny rozmiar ramek wynosi 140x140mm</v>
      </c>
      <c r="M517" s="133" t="s">
        <v>796</v>
      </c>
      <c r="N517" s="133" t="s">
        <v>797</v>
      </c>
      <c r="O517" s="133" t="s">
        <v>798</v>
      </c>
      <c r="P517" s="133" t="s">
        <v>799</v>
      </c>
      <c r="Q517" s="133" t="s">
        <v>927</v>
      </c>
      <c r="R517" s="318" t="s">
        <v>3948</v>
      </c>
    </row>
    <row r="518" spans="2:18">
      <c r="B518" s="182" t="str">
        <f t="shared" si="28"/>
        <v>Sensys SiSy nakładany</v>
      </c>
      <c r="M518" s="156" t="s">
        <v>800</v>
      </c>
      <c r="N518" s="133" t="s">
        <v>800</v>
      </c>
      <c r="O518" s="133" t="s">
        <v>815</v>
      </c>
      <c r="P518" s="133" t="s">
        <v>816</v>
      </c>
      <c r="Q518" s="133" t="s">
        <v>1559</v>
      </c>
      <c r="R518" s="318" t="s">
        <v>4161</v>
      </c>
    </row>
    <row r="519" spans="2:18">
      <c r="B519" s="182" t="str">
        <f t="shared" si="28"/>
        <v>Sensys SiSy półnakładany</v>
      </c>
      <c r="M519" s="156" t="s">
        <v>801</v>
      </c>
      <c r="N519" s="133" t="s">
        <v>801</v>
      </c>
      <c r="O519" s="133" t="s">
        <v>823</v>
      </c>
      <c r="P519" s="133" t="s">
        <v>1285</v>
      </c>
      <c r="Q519" s="133" t="s">
        <v>1560</v>
      </c>
      <c r="R519" s="318" t="s">
        <v>4162</v>
      </c>
    </row>
    <row r="520" spans="2:18">
      <c r="B520" s="182" t="str">
        <f t="shared" si="28"/>
        <v xml:space="preserve">Sensys SiSy wpuszczany </v>
      </c>
      <c r="M520" s="156" t="s">
        <v>802</v>
      </c>
      <c r="N520" s="133" t="s">
        <v>835</v>
      </c>
      <c r="O520" s="133" t="s">
        <v>836</v>
      </c>
      <c r="P520" s="133" t="s">
        <v>1286</v>
      </c>
      <c r="Q520" s="133" t="s">
        <v>1561</v>
      </c>
      <c r="R520" s="318" t="s">
        <v>4163</v>
      </c>
    </row>
    <row r="521" spans="2:18">
      <c r="B521" s="182" t="str">
        <f t="shared" si="28"/>
        <v>Sensys P2o nakładany</v>
      </c>
      <c r="M521" s="156" t="s">
        <v>803</v>
      </c>
      <c r="N521" s="133" t="s">
        <v>803</v>
      </c>
      <c r="O521" s="133" t="s">
        <v>817</v>
      </c>
      <c r="P521" s="133" t="s">
        <v>818</v>
      </c>
      <c r="Q521" s="133" t="s">
        <v>1562</v>
      </c>
      <c r="R521" s="318" t="s">
        <v>4164</v>
      </c>
    </row>
    <row r="522" spans="2:18">
      <c r="B522" s="182" t="str">
        <f t="shared" si="28"/>
        <v>Sensys P2o półnakładany</v>
      </c>
      <c r="M522" s="156" t="s">
        <v>804</v>
      </c>
      <c r="N522" s="133" t="s">
        <v>804</v>
      </c>
      <c r="O522" s="133" t="s">
        <v>824</v>
      </c>
      <c r="P522" s="133" t="s">
        <v>1287</v>
      </c>
      <c r="Q522" s="133" t="s">
        <v>1563</v>
      </c>
      <c r="R522" s="318" t="s">
        <v>4165</v>
      </c>
    </row>
    <row r="523" spans="2:18">
      <c r="B523" s="182" t="str">
        <f t="shared" si="28"/>
        <v xml:space="preserve">Sensys P2o wpuszczany </v>
      </c>
      <c r="M523" s="156" t="s">
        <v>805</v>
      </c>
      <c r="N523" s="133" t="s">
        <v>837</v>
      </c>
      <c r="O523" s="133" t="s">
        <v>838</v>
      </c>
      <c r="P523" s="133" t="s">
        <v>1288</v>
      </c>
      <c r="Q523" s="133" t="s">
        <v>1564</v>
      </c>
      <c r="R523" s="318" t="s">
        <v>4166</v>
      </c>
    </row>
    <row r="524" spans="2:18">
      <c r="B524" s="182" t="str">
        <f t="shared" si="28"/>
        <v>Sensys P2o nakładany</v>
      </c>
      <c r="M524" s="156" t="s">
        <v>806</v>
      </c>
      <c r="N524" s="133" t="s">
        <v>803</v>
      </c>
      <c r="O524" s="133" t="s">
        <v>817</v>
      </c>
      <c r="P524" s="133" t="s">
        <v>818</v>
      </c>
      <c r="Q524" s="133" t="s">
        <v>1565</v>
      </c>
      <c r="R524" s="318" t="s">
        <v>3949</v>
      </c>
    </row>
    <row r="525" spans="2:18">
      <c r="B525" s="182" t="str">
        <f t="shared" si="28"/>
        <v>nakładany z tłumieniem clip 110° ONYX</v>
      </c>
      <c r="M525" s="133" t="s">
        <v>807</v>
      </c>
      <c r="N525" s="133" t="s">
        <v>819</v>
      </c>
      <c r="O525" s="133" t="s">
        <v>820</v>
      </c>
      <c r="P525" s="133" t="s">
        <v>833</v>
      </c>
      <c r="Q525" s="133" t="s">
        <v>1566</v>
      </c>
      <c r="R525" s="318" t="s">
        <v>3950</v>
      </c>
    </row>
    <row r="526" spans="2:18">
      <c r="B526" s="182" t="str">
        <f t="shared" si="28"/>
        <v>półnakładany z tłumieniem clip 110° ONYX</v>
      </c>
      <c r="M526" s="133" t="s">
        <v>808</v>
      </c>
      <c r="N526" s="133" t="s">
        <v>821</v>
      </c>
      <c r="O526" s="133" t="s">
        <v>822</v>
      </c>
      <c r="P526" s="133" t="s">
        <v>1289</v>
      </c>
      <c r="Q526" s="133" t="s">
        <v>1567</v>
      </c>
      <c r="R526" s="318" t="s">
        <v>3951</v>
      </c>
    </row>
    <row r="527" spans="2:18">
      <c r="B527" s="182" t="str">
        <f t="shared" si="28"/>
        <v>wpuszczany z tłumieniem clip 110° Onyx</v>
      </c>
      <c r="M527" s="133" t="s">
        <v>809</v>
      </c>
      <c r="N527" s="133" t="s">
        <v>839</v>
      </c>
      <c r="O527" s="133" t="s">
        <v>840</v>
      </c>
      <c r="P527" s="133" t="s">
        <v>1290</v>
      </c>
      <c r="Q527" s="133" t="s">
        <v>1568</v>
      </c>
      <c r="R527" s="318" t="s">
        <v>3952</v>
      </c>
    </row>
    <row r="528" spans="2:18">
      <c r="B528" s="182" t="str">
        <f t="shared" si="28"/>
        <v>nakładany clip 95° Onyx</v>
      </c>
      <c r="M528" s="133" t="s">
        <v>810</v>
      </c>
      <c r="N528" s="133" t="s">
        <v>825</v>
      </c>
      <c r="O528" s="133" t="s">
        <v>826</v>
      </c>
      <c r="P528" s="133" t="s">
        <v>834</v>
      </c>
      <c r="Q528" s="133" t="s">
        <v>1569</v>
      </c>
      <c r="R528" s="318" t="s">
        <v>3953</v>
      </c>
    </row>
    <row r="529" spans="2:18">
      <c r="B529" s="182" t="str">
        <f t="shared" si="28"/>
        <v>StrongHinges S3</v>
      </c>
      <c r="M529" s="133" t="s">
        <v>2397</v>
      </c>
      <c r="N529" s="133" t="s">
        <v>2397</v>
      </c>
      <c r="O529" s="133" t="s">
        <v>2397</v>
      </c>
      <c r="P529" s="133" t="s">
        <v>2397</v>
      </c>
      <c r="Q529" s="133" t="s">
        <v>2397</v>
      </c>
      <c r="R529" s="318" t="s">
        <v>2397</v>
      </c>
    </row>
    <row r="530" spans="2:18">
      <c r="B530" s="182" t="str">
        <f t="shared" si="28"/>
        <v xml:space="preserve">StrongHinges S3 nakładany clip bez sprężyny </v>
      </c>
      <c r="M530" s="133" t="s">
        <v>2398</v>
      </c>
      <c r="N530" s="133" t="s">
        <v>2399</v>
      </c>
      <c r="O530" s="133" t="s">
        <v>2400</v>
      </c>
      <c r="P530" s="133" t="s">
        <v>2401</v>
      </c>
      <c r="Q530" s="133" t="s">
        <v>2402</v>
      </c>
      <c r="R530" s="318" t="s">
        <v>4167</v>
      </c>
    </row>
    <row r="531" spans="2:18">
      <c r="B531" s="182" t="str">
        <f t="shared" si="28"/>
        <v xml:space="preserve">StrongHinges S3 nakładany clip bez sprężyny </v>
      </c>
      <c r="M531" s="133" t="s">
        <v>2398</v>
      </c>
      <c r="N531" s="133" t="s">
        <v>2403</v>
      </c>
      <c r="O531" s="133" t="s">
        <v>2400</v>
      </c>
      <c r="P531" s="133" t="s">
        <v>2401</v>
      </c>
      <c r="Q531" s="133" t="s">
        <v>2402</v>
      </c>
      <c r="R531" s="318" t="s">
        <v>4167</v>
      </c>
    </row>
    <row r="532" spans="2:18">
      <c r="B532" s="182" t="str">
        <f t="shared" si="28"/>
        <v xml:space="preserve">StrongHinges S3 wpuszczany bez sprężyny </v>
      </c>
      <c r="M532" s="133" t="s">
        <v>2364</v>
      </c>
      <c r="N532" s="133" t="s">
        <v>2404</v>
      </c>
      <c r="O532" s="133" t="s">
        <v>2405</v>
      </c>
      <c r="P532" s="133" t="s">
        <v>2406</v>
      </c>
      <c r="Q532" s="133" t="s">
        <v>2365</v>
      </c>
      <c r="R532" s="318" t="s">
        <v>4168</v>
      </c>
    </row>
    <row r="533" spans="2:18">
      <c r="B533" s="182" t="str">
        <f t="shared" si="28"/>
        <v xml:space="preserve">StrongHinges S3 30° clip bez sprężyny </v>
      </c>
      <c r="M533" s="133" t="s">
        <v>2407</v>
      </c>
      <c r="N533" s="133" t="s">
        <v>2408</v>
      </c>
      <c r="O533" s="133" t="s">
        <v>2409</v>
      </c>
      <c r="P533" s="133" t="s">
        <v>2410</v>
      </c>
      <c r="Q533" s="133" t="s">
        <v>2411</v>
      </c>
      <c r="R533" s="318" t="s">
        <v>4169</v>
      </c>
    </row>
    <row r="534" spans="2:18">
      <c r="B534" s="182" t="str">
        <f t="shared" si="28"/>
        <v>StrongHinges S3 nakładany Clip</v>
      </c>
      <c r="M534" s="133" t="s">
        <v>2412</v>
      </c>
      <c r="N534" s="133" t="s">
        <v>2412</v>
      </c>
      <c r="O534" s="133" t="s">
        <v>2413</v>
      </c>
      <c r="P534" s="133" t="s">
        <v>2414</v>
      </c>
      <c r="Q534" s="133" t="s">
        <v>2415</v>
      </c>
      <c r="R534" s="318" t="s">
        <v>4170</v>
      </c>
    </row>
    <row r="535" spans="2:18">
      <c r="B535" s="182" t="str">
        <f t="shared" si="28"/>
        <v>StrongHinges S3 półnakładany ¨clip</v>
      </c>
      <c r="M535" s="133" t="s">
        <v>2416</v>
      </c>
      <c r="N535" s="133" t="s">
        <v>2416</v>
      </c>
      <c r="O535" s="133" t="s">
        <v>2417</v>
      </c>
      <c r="P535" s="133" t="s">
        <v>2418</v>
      </c>
      <c r="Q535" s="133" t="s">
        <v>2419</v>
      </c>
      <c r="R535" s="318" t="s">
        <v>4171</v>
      </c>
    </row>
    <row r="536" spans="2:18">
      <c r="B536" s="182" t="str">
        <f t="shared" si="28"/>
        <v>StrongHinges S3 wpuszczany Clip</v>
      </c>
      <c r="M536" s="133" t="s">
        <v>2420</v>
      </c>
      <c r="N536" s="133" t="s">
        <v>2420</v>
      </c>
      <c r="O536" s="133" t="s">
        <v>2421</v>
      </c>
      <c r="P536" s="133" t="s">
        <v>2422</v>
      </c>
      <c r="Q536" s="133" t="s">
        <v>2423</v>
      </c>
      <c r="R536" s="318" t="s">
        <v>4172</v>
      </c>
    </row>
    <row r="537" spans="2:18">
      <c r="B537" s="182" t="str">
        <f t="shared" si="28"/>
        <v>StrongHinges S3 30°clip</v>
      </c>
      <c r="M537" s="133" t="s">
        <v>2424</v>
      </c>
      <c r="N537" s="133" t="s">
        <v>2424</v>
      </c>
      <c r="O537" s="133" t="s">
        <v>2424</v>
      </c>
      <c r="P537" s="133" t="s">
        <v>2424</v>
      </c>
      <c r="Q537" s="133" t="s">
        <v>2425</v>
      </c>
      <c r="R537" s="318" t="s">
        <v>4173</v>
      </c>
    </row>
    <row r="538" spans="2:18">
      <c r="B538" s="182" t="str">
        <f t="shared" si="28"/>
        <v>StrongHinges S3 nakładany Clip</v>
      </c>
      <c r="M538" s="133" t="s">
        <v>2412</v>
      </c>
      <c r="N538" s="133" t="s">
        <v>2412</v>
      </c>
      <c r="O538" s="133" t="s">
        <v>2413</v>
      </c>
      <c r="P538" s="133" t="s">
        <v>2414</v>
      </c>
      <c r="Q538" s="133" t="s">
        <v>2415</v>
      </c>
      <c r="R538" s="318" t="s">
        <v>4170</v>
      </c>
    </row>
    <row r="539" spans="2:18">
      <c r="B539" s="182" t="str">
        <f t="shared" si="28"/>
        <v xml:space="preserve">StrongHinges S3 nakładany clip bez sprężyny </v>
      </c>
      <c r="M539" s="133" t="s">
        <v>2398</v>
      </c>
      <c r="N539" s="133" t="s">
        <v>2399</v>
      </c>
      <c r="O539" s="133" t="s">
        <v>2400</v>
      </c>
      <c r="P539" s="133" t="s">
        <v>2401</v>
      </c>
      <c r="Q539" s="133" t="s">
        <v>2402</v>
      </c>
      <c r="R539" s="318" t="s">
        <v>4167</v>
      </c>
    </row>
    <row r="540" spans="2:18">
      <c r="B540" s="182" t="str">
        <f t="shared" si="28"/>
        <v>StrongHinges S3 Clip wkręt z mimośrodem H0</v>
      </c>
      <c r="M540" s="133" t="s">
        <v>2426</v>
      </c>
      <c r="N540" s="133" t="s">
        <v>2427</v>
      </c>
      <c r="O540" s="133" t="s">
        <v>2428</v>
      </c>
      <c r="P540" s="133" t="s">
        <v>2429</v>
      </c>
      <c r="Q540" s="133" t="s">
        <v>2430</v>
      </c>
      <c r="R540" s="318" t="s">
        <v>4174</v>
      </c>
    </row>
    <row r="541" spans="2:18">
      <c r="B541" s="182" t="str">
        <f t="shared" si="28"/>
        <v>StrongHinges S3 Clip wkręt z mimośrodem H2</v>
      </c>
      <c r="M541" s="133" t="s">
        <v>2431</v>
      </c>
      <c r="N541" s="133" t="s">
        <v>2432</v>
      </c>
      <c r="O541" s="133" t="s">
        <v>2433</v>
      </c>
      <c r="P541" s="133" t="s">
        <v>2434</v>
      </c>
      <c r="Q541" s="133" t="s">
        <v>2435</v>
      </c>
      <c r="R541" s="318" t="s">
        <v>3954</v>
      </c>
    </row>
    <row r="542" spans="2:18">
      <c r="B542" s="182" t="str">
        <f t="shared" si="28"/>
        <v>Wprowadzenie</v>
      </c>
      <c r="M542" s="133" t="s">
        <v>843</v>
      </c>
      <c r="N542" s="133" t="s">
        <v>843</v>
      </c>
      <c r="O542" s="133" t="s">
        <v>844</v>
      </c>
      <c r="P542" s="133" t="s">
        <v>1291</v>
      </c>
      <c r="Q542" s="133" t="s">
        <v>928</v>
      </c>
      <c r="R542" s="318" t="s">
        <v>3955</v>
      </c>
    </row>
    <row r="543" spans="2:18">
      <c r="B543" s="182" t="str">
        <f t="shared" si="28"/>
        <v>Maksymalne wymiary ramki Corleone to 1500x600mm</v>
      </c>
      <c r="M543" s="175" t="s">
        <v>851</v>
      </c>
      <c r="N543" s="133" t="s">
        <v>852</v>
      </c>
      <c r="O543" s="133" t="s">
        <v>853</v>
      </c>
      <c r="P543" s="133" t="s">
        <v>854</v>
      </c>
      <c r="Q543" s="133" t="s">
        <v>1570</v>
      </c>
      <c r="R543" s="318" t="s">
        <v>3956</v>
      </c>
    </row>
    <row r="544" spans="2:18">
      <c r="B544" s="182" t="str">
        <f t="shared" si="28"/>
        <v>Połączenie 2 profili</v>
      </c>
      <c r="M544" s="133" t="s">
        <v>1005</v>
      </c>
      <c r="N544" s="133" t="s">
        <v>1114</v>
      </c>
      <c r="O544" s="133" t="s">
        <v>1115</v>
      </c>
      <c r="P544" s="133" t="s">
        <v>1116</v>
      </c>
      <c r="Q544" s="133" t="s">
        <v>1571</v>
      </c>
      <c r="R544" s="318" t="s">
        <v>3957</v>
      </c>
    </row>
    <row r="545" spans="2:18">
      <c r="B545" s="182" t="str">
        <f t="shared" si="28"/>
        <v>Szprosy</v>
      </c>
      <c r="M545" s="133" t="s">
        <v>1117</v>
      </c>
      <c r="N545" s="133" t="s">
        <v>1119</v>
      </c>
      <c r="O545" s="133" t="s">
        <v>932</v>
      </c>
      <c r="P545" s="133" t="s">
        <v>1118</v>
      </c>
      <c r="Q545" s="133" t="s">
        <v>1394</v>
      </c>
      <c r="R545" s="318" t="s">
        <v>3958</v>
      </c>
    </row>
    <row r="546" spans="2:18">
      <c r="B546" s="182" t="str">
        <f t="shared" si="28"/>
        <v>Marka okucia</v>
      </c>
      <c r="M546" s="133" t="s">
        <v>1007</v>
      </c>
      <c r="N546" s="133" t="s">
        <v>1120</v>
      </c>
      <c r="O546" s="133" t="s">
        <v>1121</v>
      </c>
      <c r="P546" s="133" t="s">
        <v>1292</v>
      </c>
      <c r="Q546" s="133" t="s">
        <v>1409</v>
      </c>
      <c r="R546" s="318" t="s">
        <v>3959</v>
      </c>
    </row>
    <row r="547" spans="2:18">
      <c r="B547" s="182" t="str">
        <f t="shared" si="28"/>
        <v>Wariant okucia</v>
      </c>
      <c r="M547" s="133" t="s">
        <v>1008</v>
      </c>
      <c r="N547" s="133" t="s">
        <v>1123</v>
      </c>
      <c r="O547" s="133" t="s">
        <v>1122</v>
      </c>
      <c r="P547" s="133" t="s">
        <v>1293</v>
      </c>
      <c r="Q547" s="133" t="s">
        <v>1408</v>
      </c>
      <c r="R547" s="318" t="s">
        <v>3960</v>
      </c>
    </row>
    <row r="548" spans="2:18">
      <c r="B548" s="182" t="str">
        <f t="shared" si="28"/>
        <v>Nałożenie</v>
      </c>
      <c r="M548" s="133" t="s">
        <v>1107</v>
      </c>
      <c r="N548" s="133" t="s">
        <v>1124</v>
      </c>
      <c r="O548" s="133" t="s">
        <v>1316</v>
      </c>
      <c r="P548" s="133" t="s">
        <v>1125</v>
      </c>
      <c r="Q548" s="133" t="s">
        <v>1395</v>
      </c>
      <c r="R548" s="318" t="s">
        <v>3961</v>
      </c>
    </row>
    <row r="549" spans="2:18">
      <c r="B549" s="182" t="str">
        <f t="shared" si="28"/>
        <v>Zawiasy do podnośników</v>
      </c>
      <c r="M549" s="133" t="s">
        <v>2326</v>
      </c>
      <c r="N549" s="133" t="s">
        <v>1126</v>
      </c>
      <c r="O549" s="133" t="s">
        <v>1317</v>
      </c>
      <c r="P549" s="133" t="s">
        <v>1294</v>
      </c>
      <c r="Q549" s="133" t="s">
        <v>1572</v>
      </c>
      <c r="R549" s="318" t="s">
        <v>3962</v>
      </c>
    </row>
    <row r="550" spans="2:18">
      <c r="B550" s="182" t="str">
        <f t="shared" si="28"/>
        <v>Rozstaw</v>
      </c>
      <c r="M550" s="133" t="s">
        <v>1129</v>
      </c>
      <c r="N550" s="133" t="s">
        <v>1129</v>
      </c>
      <c r="O550" s="133" t="s">
        <v>1130</v>
      </c>
      <c r="P550" s="133" t="s">
        <v>1131</v>
      </c>
      <c r="Q550" s="133" t="s">
        <v>1396</v>
      </c>
      <c r="R550" s="318" t="s">
        <v>3963</v>
      </c>
    </row>
    <row r="551" spans="2:18">
      <c r="B551" s="182" t="str">
        <f t="shared" si="28"/>
        <v>Rozstaw uchwytu (mm)</v>
      </c>
      <c r="M551" s="133" t="s">
        <v>1341</v>
      </c>
      <c r="N551" s="133" t="s">
        <v>1342</v>
      </c>
      <c r="O551" s="133" t="s">
        <v>1343</v>
      </c>
      <c r="P551" s="133" t="s">
        <v>1344</v>
      </c>
      <c r="Q551" s="133" t="s">
        <v>1411</v>
      </c>
      <c r="R551" s="318" t="s">
        <v>3964</v>
      </c>
    </row>
    <row r="552" spans="2:18">
      <c r="B552" s="182" t="str">
        <f t="shared" si="28"/>
        <v>Umieszczenie uchwytu</v>
      </c>
      <c r="M552" s="133" t="s">
        <v>1031</v>
      </c>
      <c r="N552" s="133" t="s">
        <v>1127</v>
      </c>
      <c r="O552" s="133" t="s">
        <v>1318</v>
      </c>
      <c r="P552" s="133" t="s">
        <v>1128</v>
      </c>
      <c r="Q552" s="133" t="s">
        <v>1412</v>
      </c>
      <c r="R552" s="318" t="s">
        <v>3965</v>
      </c>
    </row>
    <row r="553" spans="2:18">
      <c r="B553" s="182" t="str">
        <f t="shared" si="28"/>
        <v>Zawiasy</v>
      </c>
      <c r="M553" s="133" t="s">
        <v>399</v>
      </c>
      <c r="N553" s="133" t="s">
        <v>400</v>
      </c>
      <c r="O553" s="133" t="s">
        <v>401</v>
      </c>
      <c r="P553" s="133" t="s">
        <v>402</v>
      </c>
      <c r="Q553" s="133" t="s">
        <v>1444</v>
      </c>
      <c r="R553" s="318" t="s">
        <v>3764</v>
      </c>
    </row>
    <row r="554" spans="2:18">
      <c r="B554" s="182" t="str">
        <f t="shared" si="28"/>
        <v>Podnośniki</v>
      </c>
      <c r="M554" s="133" t="s">
        <v>599</v>
      </c>
      <c r="N554" s="133" t="s">
        <v>599</v>
      </c>
      <c r="O554" s="133" t="s">
        <v>1143</v>
      </c>
      <c r="P554" s="133" t="s">
        <v>1144</v>
      </c>
      <c r="Q554" s="133" t="s">
        <v>1573</v>
      </c>
      <c r="R554" s="318" t="s">
        <v>3966</v>
      </c>
    </row>
    <row r="555" spans="2:18">
      <c r="B555" s="182" t="str">
        <f t="shared" si="28"/>
        <v>Nakładany</v>
      </c>
      <c r="M555" s="175" t="s">
        <v>68</v>
      </c>
      <c r="N555" s="133" t="s">
        <v>68</v>
      </c>
      <c r="O555" s="133" t="s">
        <v>220</v>
      </c>
      <c r="P555" s="133" t="s">
        <v>284</v>
      </c>
      <c r="Q555" s="133" t="s">
        <v>1595</v>
      </c>
      <c r="R555" s="318" t="s">
        <v>3774</v>
      </c>
    </row>
    <row r="556" spans="2:18">
      <c r="B556" s="182" t="str">
        <f t="shared" ref="B556:B569" si="29">IF($D$1=1,M556,IF($D$1=2,N556,IF($D$1=3,O556,IF($D$1=4,P556,IF($D$1=5,Q556,IF($D$1=6,R556,0))))))</f>
        <v>Półnakładany</v>
      </c>
      <c r="M556" s="175" t="s">
        <v>69</v>
      </c>
      <c r="N556" s="133" t="s">
        <v>69</v>
      </c>
      <c r="O556" s="133" t="s">
        <v>221</v>
      </c>
      <c r="P556" s="133" t="s">
        <v>1244</v>
      </c>
      <c r="Q556" s="133" t="s">
        <v>1452</v>
      </c>
      <c r="R556" s="318" t="s">
        <v>3967</v>
      </c>
    </row>
    <row r="557" spans="2:18">
      <c r="B557" s="182" t="str">
        <f t="shared" si="29"/>
        <v>Wpuszczany</v>
      </c>
      <c r="M557" s="175" t="s">
        <v>70</v>
      </c>
      <c r="N557" s="133" t="s">
        <v>70</v>
      </c>
      <c r="O557" s="133" t="s">
        <v>1145</v>
      </c>
      <c r="P557" s="133" t="s">
        <v>1245</v>
      </c>
      <c r="Q557" s="133" t="s">
        <v>905</v>
      </c>
      <c r="R557" s="318" t="s">
        <v>3968</v>
      </c>
    </row>
    <row r="558" spans="2:18">
      <c r="B558" s="182" t="str">
        <f t="shared" si="29"/>
        <v>Tak</v>
      </c>
      <c r="M558" s="175" t="s">
        <v>1180</v>
      </c>
      <c r="N558" s="133" t="s">
        <v>1186</v>
      </c>
      <c r="O558" s="133" t="s">
        <v>1185</v>
      </c>
      <c r="P558" s="133" t="s">
        <v>1182</v>
      </c>
      <c r="Q558" s="133" t="s">
        <v>1397</v>
      </c>
      <c r="R558" s="318" t="s">
        <v>3969</v>
      </c>
    </row>
    <row r="559" spans="2:18">
      <c r="B559" s="182" t="str">
        <f t="shared" si="29"/>
        <v>Nie</v>
      </c>
      <c r="M559" s="175" t="s">
        <v>1181</v>
      </c>
      <c r="N559" s="133" t="s">
        <v>1184</v>
      </c>
      <c r="O559" s="133" t="s">
        <v>1184</v>
      </c>
      <c r="P559" s="133" t="s">
        <v>1183</v>
      </c>
      <c r="Q559" s="133" t="s">
        <v>1398</v>
      </c>
      <c r="R559" s="318" t="s">
        <v>3970</v>
      </c>
    </row>
    <row r="560" spans="2:18">
      <c r="B560" s="182" t="str">
        <f t="shared" si="29"/>
        <v>Poziomo (termin dostawy 4 tygodnie)</v>
      </c>
      <c r="M560" s="175" t="s">
        <v>3123</v>
      </c>
      <c r="N560" s="133" t="s">
        <v>3124</v>
      </c>
      <c r="O560" s="133" t="s">
        <v>3125</v>
      </c>
      <c r="P560" s="133" t="s">
        <v>3126</v>
      </c>
      <c r="Q560" s="133" t="s">
        <v>3127</v>
      </c>
      <c r="R560" s="318" t="s">
        <v>3971</v>
      </c>
    </row>
    <row r="561" spans="2:18">
      <c r="B561" s="182" t="str">
        <f t="shared" si="29"/>
        <v>Pionowo (termin dostawy 4 tygodnie)</v>
      </c>
      <c r="M561" s="175" t="s">
        <v>3128</v>
      </c>
      <c r="N561" s="133" t="s">
        <v>3129</v>
      </c>
      <c r="O561" s="133" t="s">
        <v>3130</v>
      </c>
      <c r="P561" s="133" t="s">
        <v>3131</v>
      </c>
      <c r="Q561" s="133" t="s">
        <v>3132</v>
      </c>
      <c r="R561" s="318" t="s">
        <v>3972</v>
      </c>
    </row>
    <row r="562" spans="2:18">
      <c r="B562" s="182" t="str">
        <f t="shared" si="29"/>
        <v>Poziomo i pionowo (termin dostawy 4 tygodnie)</v>
      </c>
      <c r="M562" s="175" t="s">
        <v>3133</v>
      </c>
      <c r="N562" s="133" t="s">
        <v>3134</v>
      </c>
      <c r="O562" s="133" t="s">
        <v>3135</v>
      </c>
      <c r="P562" s="133" t="s">
        <v>3136</v>
      </c>
      <c r="Q562" s="133" t="s">
        <v>3137</v>
      </c>
      <c r="R562" s="318" t="s">
        <v>3973</v>
      </c>
    </row>
    <row r="563" spans="2:18">
      <c r="B563" s="182" t="str">
        <f t="shared" si="29"/>
        <v>Ramka złożona z dwóch różnych profili</v>
      </c>
      <c r="M563" s="133" t="s">
        <v>1006</v>
      </c>
      <c r="N563" s="133" t="s">
        <v>1187</v>
      </c>
      <c r="O563" s="133" t="s">
        <v>1319</v>
      </c>
      <c r="P563" s="133" t="s">
        <v>1188</v>
      </c>
      <c r="Q563" s="133" t="s">
        <v>1574</v>
      </c>
      <c r="R563" s="318" t="s">
        <v>3974</v>
      </c>
    </row>
    <row r="564" spans="2:18">
      <c r="B564" s="182" t="str">
        <f t="shared" si="29"/>
        <v>Rodzaj folii</v>
      </c>
      <c r="M564" s="175" t="s">
        <v>942</v>
      </c>
      <c r="N564" s="133" t="s">
        <v>1207</v>
      </c>
      <c r="O564" s="133" t="s">
        <v>1208</v>
      </c>
      <c r="P564" s="133" t="s">
        <v>1209</v>
      </c>
      <c r="Q564" s="133" t="s">
        <v>1575</v>
      </c>
      <c r="R564" s="318" t="s">
        <v>3975</v>
      </c>
    </row>
    <row r="565" spans="2:18">
      <c r="B565" s="182" t="str">
        <f t="shared" si="29"/>
        <v>transparentna</v>
      </c>
      <c r="M565" s="133" t="s">
        <v>953</v>
      </c>
      <c r="N565" s="133" t="s">
        <v>1210</v>
      </c>
      <c r="O565" s="133" t="s">
        <v>1320</v>
      </c>
      <c r="P565" s="133" t="s">
        <v>1213</v>
      </c>
      <c r="Q565" s="133" t="s">
        <v>1399</v>
      </c>
      <c r="R565" s="318" t="s">
        <v>1399</v>
      </c>
    </row>
    <row r="566" spans="2:18">
      <c r="B566" s="182" t="str">
        <f t="shared" si="29"/>
        <v>Biała</v>
      </c>
      <c r="M566" s="133" t="s">
        <v>956</v>
      </c>
      <c r="N566" s="133" t="s">
        <v>1211</v>
      </c>
      <c r="O566" s="133" t="s">
        <v>1321</v>
      </c>
      <c r="P566" s="133" t="s">
        <v>1295</v>
      </c>
      <c r="Q566" s="133" t="s">
        <v>1400</v>
      </c>
      <c r="R566" s="318" t="s">
        <v>3976</v>
      </c>
    </row>
    <row r="567" spans="2:18">
      <c r="B567" s="182" t="str">
        <f t="shared" si="29"/>
        <v>czarna</v>
      </c>
      <c r="M567" s="133" t="s">
        <v>959</v>
      </c>
      <c r="N567" s="133" t="s">
        <v>1212</v>
      </c>
      <c r="O567" s="133" t="s">
        <v>1322</v>
      </c>
      <c r="P567" s="133" t="s">
        <v>1214</v>
      </c>
      <c r="Q567" s="133" t="s">
        <v>1401</v>
      </c>
      <c r="R567" s="318" t="s">
        <v>3977</v>
      </c>
    </row>
    <row r="568" spans="2:18">
      <c r="B568" s="182" t="str">
        <f t="shared" si="29"/>
        <v>Kolejne</v>
      </c>
      <c r="M568" s="133" t="s">
        <v>1221</v>
      </c>
      <c r="N568" s="133" t="s">
        <v>1222</v>
      </c>
      <c r="O568" s="133" t="s">
        <v>1323</v>
      </c>
      <c r="P568" s="133" t="s">
        <v>1223</v>
      </c>
      <c r="Q568" s="133" t="s">
        <v>1402</v>
      </c>
      <c r="R568" s="318" t="s">
        <v>3978</v>
      </c>
    </row>
    <row r="569" spans="2:18">
      <c r="B569" s="182" t="str">
        <f t="shared" si="29"/>
        <v>Podsumowanie</v>
      </c>
      <c r="M569" s="133" t="s">
        <v>1112</v>
      </c>
      <c r="N569" s="133" t="s">
        <v>1226</v>
      </c>
      <c r="O569" s="133" t="s">
        <v>1224</v>
      </c>
      <c r="P569" s="133" t="s">
        <v>1225</v>
      </c>
      <c r="Q569" s="133" t="s">
        <v>1403</v>
      </c>
      <c r="R569" s="318" t="s">
        <v>3979</v>
      </c>
    </row>
    <row r="570" spans="2:18">
      <c r="B570" s="182">
        <f t="shared" ref="B570:B572" si="30">IF($D$1=1,M570,IF($D$1=2,N570,IF($D$1=3,O570,IF($D$1=4,P570,IF($D$1=5,Q570,0)))))</f>
        <v>0</v>
      </c>
    </row>
    <row r="571" spans="2:18">
      <c r="B571" s="182">
        <f t="shared" si="30"/>
        <v>0</v>
      </c>
    </row>
    <row r="572" spans="2:18">
      <c r="B572" s="182">
        <f t="shared" si="30"/>
        <v>0</v>
      </c>
    </row>
    <row r="573" spans="2:18">
      <c r="B573" s="182" t="str">
        <f t="shared" ref="B573:B636" si="31">IF($D$1=1,M573,IF($D$1=2,N573,IF($D$1=3,O573,IF($D$1=4,P573,IF($D$1=5,Q573,IF($D$1=6,R573,0))))))</f>
        <v>Widok szpros ma charakter poglądowy i nie pokazuje wybranej liczby szpros.</v>
      </c>
      <c r="M573" s="133" t="s">
        <v>3061</v>
      </c>
      <c r="N573" s="133" t="s">
        <v>3063</v>
      </c>
      <c r="O573" s="133" t="s">
        <v>3062</v>
      </c>
      <c r="P573" s="133" t="s">
        <v>3064</v>
      </c>
      <c r="Q573" s="133" t="s">
        <v>1576</v>
      </c>
      <c r="R573" s="318" t="s">
        <v>4175</v>
      </c>
    </row>
    <row r="574" spans="2:18">
      <c r="B574" s="182" t="str">
        <f t="shared" si="31"/>
        <v>Ważne informacje:</v>
      </c>
      <c r="M574" s="133" t="s">
        <v>3502</v>
      </c>
      <c r="N574" s="133" t="s">
        <v>3501</v>
      </c>
      <c r="O574" s="133" t="s">
        <v>3500</v>
      </c>
      <c r="P574" s="133" t="s">
        <v>3503</v>
      </c>
      <c r="Q574" s="133" t="s">
        <v>3504</v>
      </c>
      <c r="R574" s="318" t="s">
        <v>4176</v>
      </c>
    </row>
    <row r="575" spans="2:18">
      <c r="B575" s="182" t="str">
        <f t="shared" si="31"/>
        <v>Nie zmieniaj po wybraniu rodzaj szkła/siatka</v>
      </c>
      <c r="M575" s="133" t="s">
        <v>4244</v>
      </c>
      <c r="N575" s="133" t="s">
        <v>4245</v>
      </c>
      <c r="O575" s="133" t="s">
        <v>4246</v>
      </c>
      <c r="P575" s="133" t="s">
        <v>4247</v>
      </c>
      <c r="Q575" s="133" t="s">
        <v>4248</v>
      </c>
      <c r="R575" s="318" t="s">
        <v>4249</v>
      </c>
    </row>
    <row r="576" spans="2:18">
      <c r="B576" s="182" t="str">
        <f t="shared" si="31"/>
        <v>Powrót</v>
      </c>
      <c r="M576" s="133" t="s">
        <v>1324</v>
      </c>
      <c r="N576" s="133" t="s">
        <v>1327</v>
      </c>
      <c r="O576" s="133" t="s">
        <v>1326</v>
      </c>
      <c r="P576" s="133" t="s">
        <v>1325</v>
      </c>
      <c r="Q576" s="133" t="s">
        <v>1404</v>
      </c>
      <c r="R576" s="318" t="s">
        <v>4177</v>
      </c>
    </row>
    <row r="577" spans="2:18">
      <c r="B577" s="182" t="str">
        <f t="shared" si="31"/>
        <v>Standardowa odległość zawiasów od krawędzi wynosi 100 mm (minimum 80 mm). Jeżeli konieczna jest zmiana rozstawu między poszczególnymi zawiasami, prosimy podać w notatce (w mm).</v>
      </c>
      <c r="M577" s="133" t="s">
        <v>1329</v>
      </c>
      <c r="N577" s="133" t="s">
        <v>1330</v>
      </c>
      <c r="O577" s="133" t="s">
        <v>1331</v>
      </c>
      <c r="P577" s="133" t="s">
        <v>2076</v>
      </c>
      <c r="Q577" s="133" t="s">
        <v>1577</v>
      </c>
      <c r="R577" s="318" t="s">
        <v>4178</v>
      </c>
    </row>
    <row r="578" spans="2:18" ht="75">
      <c r="B578" s="182" t="str">
        <f t="shared" si="31"/>
        <v>„W zielonych komórkach wpisz odległość wiercenia uchwytu od zewnętrznej krawędzi ramki.
Jeśli chcesz przewiercić uchwyt w środku ościeżnicy i na środku profilu, w zielonych polach wpisz „x”.</v>
      </c>
      <c r="M578" s="197" t="s">
        <v>1612</v>
      </c>
      <c r="N578" s="197" t="s">
        <v>1941</v>
      </c>
      <c r="O578" s="197" t="s">
        <v>3499</v>
      </c>
      <c r="P578" s="197" t="s">
        <v>2075</v>
      </c>
      <c r="Q578" s="197" t="s">
        <v>1613</v>
      </c>
      <c r="R578" s="323" t="s">
        <v>4179</v>
      </c>
    </row>
    <row r="579" spans="2:18">
      <c r="B579" s="182" t="str">
        <f t="shared" si="31"/>
        <v>W przypadku zawiasów maksymalny zalecany rozmiar to 600mm</v>
      </c>
      <c r="M579" s="133" t="s">
        <v>3468</v>
      </c>
      <c r="N579" s="133" t="s">
        <v>3469</v>
      </c>
      <c r="O579" s="133" t="s">
        <v>3470</v>
      </c>
      <c r="P579" s="133" t="s">
        <v>3471</v>
      </c>
      <c r="Q579" s="133" t="s">
        <v>3472</v>
      </c>
      <c r="R579" s="318" t="s">
        <v>4180</v>
      </c>
    </row>
    <row r="580" spans="2:18">
      <c r="B580" s="182" t="str">
        <f t="shared" si="31"/>
        <v>Varna czarna - producent zaleca długość max. 1200 mm</v>
      </c>
      <c r="M580" s="133" t="s">
        <v>1425</v>
      </c>
      <c r="N580" s="133" t="s">
        <v>1426</v>
      </c>
      <c r="O580" s="133" t="s">
        <v>1427</v>
      </c>
      <c r="P580" s="133" t="s">
        <v>1428</v>
      </c>
      <c r="Q580" s="133" t="s">
        <v>1429</v>
      </c>
      <c r="R580" s="318" t="s">
        <v>4181</v>
      </c>
    </row>
    <row r="581" spans="2:18">
      <c r="B581" s="182" t="str">
        <f t="shared" si="31"/>
        <v>Varna czarna - producent zaleca długość max. 1200 mm</v>
      </c>
      <c r="M581" s="133" t="s">
        <v>1425</v>
      </c>
      <c r="N581" s="133" t="s">
        <v>1430</v>
      </c>
      <c r="O581" s="133" t="s">
        <v>1427</v>
      </c>
      <c r="P581" s="133" t="s">
        <v>1428</v>
      </c>
      <c r="Q581" s="133" t="s">
        <v>1429</v>
      </c>
      <c r="R581" s="318" t="s">
        <v>4181</v>
      </c>
    </row>
    <row r="582" spans="2:18" ht="67.900000000000006" customHeight="1">
      <c r="B582" s="182" t="str">
        <f t="shared" si="31"/>
        <v>Rocca czarny - długość max. 2150 mm
Varna czarna - długość max. 1200 mm</v>
      </c>
      <c r="M582" s="197" t="s">
        <v>3056</v>
      </c>
      <c r="N582" s="197" t="s">
        <v>3057</v>
      </c>
      <c r="O582" s="197" t="s">
        <v>3058</v>
      </c>
      <c r="P582" s="197" t="s">
        <v>3059</v>
      </c>
      <c r="Q582" s="197" t="s">
        <v>3060</v>
      </c>
      <c r="R582" s="324" t="s">
        <v>4182</v>
      </c>
    </row>
    <row r="583" spans="2:18">
      <c r="B583" s="182" t="str">
        <f t="shared" si="31"/>
        <v>Zamówienie szkła</v>
      </c>
      <c r="M583" s="133" t="s">
        <v>1431</v>
      </c>
      <c r="N583" s="133" t="s">
        <v>1431</v>
      </c>
      <c r="O583" s="133" t="s">
        <v>1432</v>
      </c>
      <c r="P583" s="133" t="s">
        <v>1433</v>
      </c>
      <c r="Q583" s="133" t="s">
        <v>1434</v>
      </c>
      <c r="R583" s="318" t="s">
        <v>4183</v>
      </c>
    </row>
    <row r="584" spans="2:18">
      <c r="B584" s="182" t="str">
        <f t="shared" si="31"/>
        <v>ze sprężyną z tłumieniem</v>
      </c>
      <c r="M584" s="133" t="s">
        <v>2092</v>
      </c>
      <c r="N584" s="133" t="s">
        <v>2095</v>
      </c>
      <c r="O584" s="133" t="s">
        <v>2098</v>
      </c>
      <c r="P584" s="133" t="s">
        <v>2101</v>
      </c>
      <c r="Q584" s="133" t="s">
        <v>2104</v>
      </c>
      <c r="R584" s="318" t="s">
        <v>4184</v>
      </c>
    </row>
    <row r="585" spans="2:18">
      <c r="B585" s="182" t="str">
        <f t="shared" si="31"/>
        <v>ze sprężyną bez tłumienia</v>
      </c>
      <c r="M585" s="133" t="s">
        <v>2093</v>
      </c>
      <c r="N585" s="133" t="s">
        <v>2096</v>
      </c>
      <c r="O585" s="133" t="s">
        <v>2099</v>
      </c>
      <c r="P585" s="133" t="s">
        <v>2102</v>
      </c>
      <c r="Q585" s="133" t="s">
        <v>2105</v>
      </c>
      <c r="R585" s="318" t="s">
        <v>4185</v>
      </c>
    </row>
    <row r="586" spans="2:18">
      <c r="B586" s="182" t="str">
        <f t="shared" si="31"/>
        <v>tip-on bez sprężyny/tłumienie</v>
      </c>
      <c r="M586" s="133" t="s">
        <v>2094</v>
      </c>
      <c r="N586" s="133" t="s">
        <v>2097</v>
      </c>
      <c r="O586" s="133" t="s">
        <v>2100</v>
      </c>
      <c r="P586" s="133" t="s">
        <v>2103</v>
      </c>
      <c r="Q586" s="133" t="s">
        <v>2106</v>
      </c>
      <c r="R586" s="318" t="s">
        <v>4186</v>
      </c>
    </row>
    <row r="587" spans="2:18">
      <c r="B587" s="182" t="str">
        <f t="shared" si="31"/>
        <v>srebro</v>
      </c>
      <c r="M587" s="133" t="s">
        <v>1102</v>
      </c>
      <c r="N587" s="133" t="s">
        <v>1600</v>
      </c>
      <c r="O587" s="133" t="s">
        <v>1601</v>
      </c>
      <c r="P587" s="133" t="s">
        <v>1596</v>
      </c>
      <c r="Q587" s="133" t="s">
        <v>1598</v>
      </c>
      <c r="R587" s="318" t="s">
        <v>4187</v>
      </c>
    </row>
    <row r="588" spans="2:18">
      <c r="B588" s="182" t="str">
        <f t="shared" si="31"/>
        <v>czarny</v>
      </c>
      <c r="M588" s="133" t="s">
        <v>1104</v>
      </c>
      <c r="N588" s="133" t="s">
        <v>1212</v>
      </c>
      <c r="O588" s="133" t="s">
        <v>1602</v>
      </c>
      <c r="P588" s="133" t="s">
        <v>1597</v>
      </c>
      <c r="Q588" s="133" t="s">
        <v>1599</v>
      </c>
      <c r="R588" s="318" t="s">
        <v>4188</v>
      </c>
    </row>
    <row r="589" spans="2:18">
      <c r="B589" s="182" t="str">
        <f t="shared" si="31"/>
        <v>W przypadku zastosowania ze szkłem maksymalny zalecany wymiar to 1500 x 600 mm</v>
      </c>
      <c r="M589" s="133" t="s">
        <v>1616</v>
      </c>
      <c r="N589" s="133" t="s">
        <v>1619</v>
      </c>
      <c r="O589" s="133" t="s">
        <v>1617</v>
      </c>
      <c r="P589" s="133" t="s">
        <v>1618</v>
      </c>
      <c r="Q589" s="133" t="s">
        <v>1615</v>
      </c>
      <c r="R589" s="318" t="s">
        <v>3980</v>
      </c>
    </row>
    <row r="590" spans="2:18">
      <c r="B590" s="133" t="s">
        <v>1940</v>
      </c>
      <c r="R590" s="318"/>
    </row>
    <row r="591" spans="2:18">
      <c r="B591" s="182" t="str">
        <f t="shared" si="31"/>
        <v>(dolnej)</v>
      </c>
      <c r="M591" t="s">
        <v>4541</v>
      </c>
      <c r="N591" s="133" t="s">
        <v>4545</v>
      </c>
      <c r="O591" s="133" t="s">
        <v>1950</v>
      </c>
      <c r="P591" s="133" t="s">
        <v>1942</v>
      </c>
      <c r="Q591" s="133" t="s">
        <v>1946</v>
      </c>
      <c r="R591" t="s">
        <v>3981</v>
      </c>
    </row>
    <row r="592" spans="2:18">
      <c r="B592" s="182" t="str">
        <f t="shared" si="31"/>
        <v>(lewej)</v>
      </c>
      <c r="M592" t="s">
        <v>4542</v>
      </c>
      <c r="N592" s="133" t="s">
        <v>4546</v>
      </c>
      <c r="O592" s="133" t="s">
        <v>1951</v>
      </c>
      <c r="P592" s="133" t="s">
        <v>1943</v>
      </c>
      <c r="Q592" s="133" t="s">
        <v>1947</v>
      </c>
      <c r="R592" t="s">
        <v>3982</v>
      </c>
    </row>
    <row r="593" spans="2:18">
      <c r="B593" s="182" t="str">
        <f t="shared" si="31"/>
        <v>(górnej)</v>
      </c>
      <c r="M593" t="s">
        <v>4543</v>
      </c>
      <c r="N593" s="133" t="s">
        <v>4547</v>
      </c>
      <c r="O593" s="133" t="s">
        <v>1952</v>
      </c>
      <c r="P593" s="133" t="s">
        <v>1944</v>
      </c>
      <c r="Q593" s="133" t="s">
        <v>1948</v>
      </c>
      <c r="R593" t="s">
        <v>3983</v>
      </c>
    </row>
    <row r="594" spans="2:18">
      <c r="B594" s="182" t="str">
        <f t="shared" si="31"/>
        <v>(prawej)</v>
      </c>
      <c r="M594" t="s">
        <v>4544</v>
      </c>
      <c r="N594" s="133" t="s">
        <v>4544</v>
      </c>
      <c r="O594" s="133" t="s">
        <v>1953</v>
      </c>
      <c r="P594" s="133" t="s">
        <v>1945</v>
      </c>
      <c r="Q594" s="133" t="s">
        <v>1949</v>
      </c>
      <c r="R594" t="s">
        <v>3984</v>
      </c>
    </row>
    <row r="595" spans="2:18">
      <c r="B595" s="182" t="str">
        <f t="shared" si="31"/>
        <v>275672- autom. 30N szary</v>
      </c>
      <c r="M595" s="133" t="s">
        <v>1955</v>
      </c>
      <c r="N595" s="133" t="s">
        <v>1956</v>
      </c>
      <c r="O595" s="133" t="s">
        <v>1957</v>
      </c>
      <c r="P595" s="133" t="s">
        <v>1958</v>
      </c>
      <c r="Q595" s="133" t="s">
        <v>1959</v>
      </c>
      <c r="R595" t="s">
        <v>3985</v>
      </c>
    </row>
    <row r="596" spans="2:18">
      <c r="B596" s="182" t="str">
        <f t="shared" si="31"/>
        <v>275673- autom. 60N szary</v>
      </c>
      <c r="M596" s="133" t="s">
        <v>1960</v>
      </c>
      <c r="N596" s="133" t="s">
        <v>1961</v>
      </c>
      <c r="O596" s="133" t="s">
        <v>1962</v>
      </c>
      <c r="P596" s="133" t="s">
        <v>1963</v>
      </c>
      <c r="Q596" s="133" t="s">
        <v>1964</v>
      </c>
      <c r="R596" t="s">
        <v>3986</v>
      </c>
    </row>
    <row r="597" spans="2:18">
      <c r="B597" s="182" t="str">
        <f t="shared" si="31"/>
        <v>275674- autom. 80N szary</v>
      </c>
      <c r="M597" s="133" t="s">
        <v>1965</v>
      </c>
      <c r="N597" s="133" t="s">
        <v>1966</v>
      </c>
      <c r="O597" s="133" t="s">
        <v>1967</v>
      </c>
      <c r="P597" s="133" t="s">
        <v>1968</v>
      </c>
      <c r="Q597" s="133" t="s">
        <v>1969</v>
      </c>
      <c r="R597" t="s">
        <v>3987</v>
      </c>
    </row>
    <row r="598" spans="2:18">
      <c r="B598" s="182" t="str">
        <f t="shared" si="31"/>
        <v>275675- autom. 100N szary</v>
      </c>
      <c r="M598" s="133" t="s">
        <v>1970</v>
      </c>
      <c r="N598" s="133" t="s">
        <v>1971</v>
      </c>
      <c r="O598" s="133" t="s">
        <v>1972</v>
      </c>
      <c r="P598" s="133" t="s">
        <v>1973</v>
      </c>
      <c r="Q598" s="133" t="s">
        <v>1974</v>
      </c>
      <c r="R598" t="s">
        <v>3988</v>
      </c>
    </row>
    <row r="599" spans="2:18">
      <c r="B599" s="182" t="str">
        <f t="shared" si="31"/>
        <v>275676- autom. 120N szary</v>
      </c>
      <c r="M599" s="133" t="s">
        <v>1975</v>
      </c>
      <c r="N599" s="133" t="s">
        <v>1976</v>
      </c>
      <c r="O599" s="133" t="s">
        <v>1977</v>
      </c>
      <c r="P599" s="133" t="s">
        <v>1978</v>
      </c>
      <c r="Q599" s="133" t="s">
        <v>1979</v>
      </c>
      <c r="R599" t="s">
        <v>3989</v>
      </c>
    </row>
    <row r="600" spans="2:18">
      <c r="B600" s="198" t="s">
        <v>1954</v>
      </c>
      <c r="R600"/>
    </row>
    <row r="601" spans="2:18">
      <c r="B601" s="182" t="str">
        <f t="shared" si="31"/>
        <v>248162- autom. 30N biały</v>
      </c>
      <c r="M601" s="133" t="s">
        <v>1980</v>
      </c>
      <c r="N601" s="133" t="s">
        <v>1981</v>
      </c>
      <c r="O601" s="133" t="s">
        <v>1982</v>
      </c>
      <c r="P601" s="133" t="s">
        <v>1983</v>
      </c>
      <c r="Q601" s="133" t="s">
        <v>1984</v>
      </c>
      <c r="R601" t="s">
        <v>3990</v>
      </c>
    </row>
    <row r="602" spans="2:18">
      <c r="B602" s="182" t="str">
        <f t="shared" si="31"/>
        <v>248163- autom. 60N biały</v>
      </c>
      <c r="M602" s="133" t="s">
        <v>1985</v>
      </c>
      <c r="N602" s="133" t="s">
        <v>1986</v>
      </c>
      <c r="O602" s="133" t="s">
        <v>1987</v>
      </c>
      <c r="P602" s="133" t="s">
        <v>1988</v>
      </c>
      <c r="Q602" s="133" t="s">
        <v>1989</v>
      </c>
      <c r="R602" t="s">
        <v>3991</v>
      </c>
    </row>
    <row r="603" spans="2:18">
      <c r="B603" s="182" t="str">
        <f t="shared" si="31"/>
        <v>248164- autom. 80N biały</v>
      </c>
      <c r="M603" s="133" t="s">
        <v>1990</v>
      </c>
      <c r="N603" s="133" t="s">
        <v>1991</v>
      </c>
      <c r="O603" s="133" t="s">
        <v>1992</v>
      </c>
      <c r="P603" s="133" t="s">
        <v>1993</v>
      </c>
      <c r="Q603" s="133" t="s">
        <v>1994</v>
      </c>
      <c r="R603" t="s">
        <v>3992</v>
      </c>
    </row>
    <row r="604" spans="2:18">
      <c r="B604" s="182" t="str">
        <f t="shared" si="31"/>
        <v>248165- autom. 100N biały</v>
      </c>
      <c r="M604" s="133" t="s">
        <v>1995</v>
      </c>
      <c r="N604" s="133" t="s">
        <v>1996</v>
      </c>
      <c r="O604" s="133" t="s">
        <v>1997</v>
      </c>
      <c r="P604" s="133" t="s">
        <v>1998</v>
      </c>
      <c r="Q604" s="133" t="s">
        <v>1999</v>
      </c>
      <c r="R604" t="s">
        <v>3993</v>
      </c>
    </row>
    <row r="605" spans="2:18">
      <c r="B605" s="182" t="str">
        <f t="shared" si="31"/>
        <v>248166- autom. 120N biały</v>
      </c>
      <c r="M605" s="133" t="s">
        <v>2000</v>
      </c>
      <c r="N605" s="133" t="s">
        <v>2001</v>
      </c>
      <c r="O605" s="133" t="s">
        <v>2002</v>
      </c>
      <c r="P605" s="133" t="s">
        <v>2003</v>
      </c>
      <c r="Q605" s="133" t="s">
        <v>2004</v>
      </c>
      <c r="R605" t="s">
        <v>3994</v>
      </c>
    </row>
    <row r="606" spans="2:18">
      <c r="B606" s="182" t="str">
        <f t="shared" si="31"/>
        <v>284250 pozycj.60N szary</v>
      </c>
      <c r="M606" s="133" t="s">
        <v>2005</v>
      </c>
      <c r="N606" s="133" t="s">
        <v>2006</v>
      </c>
      <c r="O606" s="133" t="s">
        <v>2007</v>
      </c>
      <c r="P606" s="133" t="s">
        <v>2008</v>
      </c>
      <c r="Q606" s="133" t="s">
        <v>2009</v>
      </c>
      <c r="R606" t="s">
        <v>3995</v>
      </c>
    </row>
    <row r="607" spans="2:18">
      <c r="B607" s="198" t="s">
        <v>1954</v>
      </c>
      <c r="R607"/>
    </row>
    <row r="608" spans="2:18">
      <c r="B608" s="182" t="str">
        <f t="shared" si="31"/>
        <v>284251-pozycj. 80N szary</v>
      </c>
      <c r="M608" s="133" t="s">
        <v>2010</v>
      </c>
      <c r="N608" s="133" t="s">
        <v>2011</v>
      </c>
      <c r="O608" s="133" t="s">
        <v>2012</v>
      </c>
      <c r="P608" s="133" t="s">
        <v>2013</v>
      </c>
      <c r="Q608" s="133" t="s">
        <v>2014</v>
      </c>
      <c r="R608" t="s">
        <v>3996</v>
      </c>
    </row>
    <row r="609" spans="2:18">
      <c r="B609" s="182" t="str">
        <f t="shared" si="31"/>
        <v>284252-pozycj. 100N szary</v>
      </c>
      <c r="M609" s="133" t="s">
        <v>2015</v>
      </c>
      <c r="N609" s="133" t="s">
        <v>2016</v>
      </c>
      <c r="O609" s="133" t="s">
        <v>2017</v>
      </c>
      <c r="P609" s="133" t="s">
        <v>2018</v>
      </c>
      <c r="Q609" s="133" t="s">
        <v>2019</v>
      </c>
      <c r="R609" t="s">
        <v>3997</v>
      </c>
    </row>
    <row r="610" spans="2:18">
      <c r="B610" s="182" t="str">
        <f t="shared" si="31"/>
        <v>284253-pozycj. 120N szary</v>
      </c>
      <c r="M610" s="133" t="s">
        <v>2020</v>
      </c>
      <c r="N610" s="133" t="s">
        <v>2021</v>
      </c>
      <c r="O610" s="133" t="s">
        <v>2022</v>
      </c>
      <c r="P610" s="133" t="s">
        <v>2023</v>
      </c>
      <c r="Q610" s="133" t="s">
        <v>2024</v>
      </c>
      <c r="R610" t="s">
        <v>3998</v>
      </c>
    </row>
    <row r="611" spans="2:18">
      <c r="B611" s="182" t="str">
        <f t="shared" si="31"/>
        <v>284254-pozycj. 60N biały</v>
      </c>
      <c r="M611" s="133" t="s">
        <v>2025</v>
      </c>
      <c r="N611" s="133" t="s">
        <v>2026</v>
      </c>
      <c r="O611" s="133" t="s">
        <v>2027</v>
      </c>
      <c r="P611" s="133" t="s">
        <v>2028</v>
      </c>
      <c r="Q611" s="133" t="s">
        <v>2029</v>
      </c>
      <c r="R611" t="s">
        <v>3999</v>
      </c>
    </row>
    <row r="612" spans="2:18">
      <c r="B612" s="182" t="str">
        <f t="shared" si="31"/>
        <v>284255-pozycj. 80N biały</v>
      </c>
      <c r="M612" s="133" t="s">
        <v>2030</v>
      </c>
      <c r="N612" s="133" t="s">
        <v>2031</v>
      </c>
      <c r="O612" s="133" t="s">
        <v>2032</v>
      </c>
      <c r="P612" s="133" t="s">
        <v>2033</v>
      </c>
      <c r="Q612" s="133" t="s">
        <v>2034</v>
      </c>
      <c r="R612" t="s">
        <v>4000</v>
      </c>
    </row>
    <row r="613" spans="2:18">
      <c r="B613" s="182" t="str">
        <f t="shared" si="31"/>
        <v>284256-pozycj. 100N biały</v>
      </c>
      <c r="M613" s="133" t="s">
        <v>2035</v>
      </c>
      <c r="N613" s="133" t="s">
        <v>2036</v>
      </c>
      <c r="O613" s="133" t="s">
        <v>2037</v>
      </c>
      <c r="P613" s="133" t="s">
        <v>2038</v>
      </c>
      <c r="Q613" s="133" t="s">
        <v>2039</v>
      </c>
      <c r="R613" t="s">
        <v>4001</v>
      </c>
    </row>
    <row r="614" spans="2:18">
      <c r="B614" s="182" t="str">
        <f t="shared" si="31"/>
        <v>284257-pozycj. 120N biały</v>
      </c>
      <c r="M614" s="133" t="s">
        <v>2040</v>
      </c>
      <c r="N614" s="133" t="s">
        <v>2041</v>
      </c>
      <c r="O614" s="133" t="s">
        <v>2042</v>
      </c>
      <c r="P614" s="133" t="s">
        <v>2043</v>
      </c>
      <c r="Q614" s="133" t="s">
        <v>2044</v>
      </c>
      <c r="R614" t="s">
        <v>4002</v>
      </c>
    </row>
    <row r="615" spans="2:18">
      <c r="B615" s="198" t="s">
        <v>1954</v>
      </c>
      <c r="R615" s="318"/>
    </row>
    <row r="616" spans="2:18">
      <c r="B616" s="182" t="str">
        <f t="shared" si="31"/>
        <v>275689-barkowy 80N szary</v>
      </c>
      <c r="M616" s="133" t="s">
        <v>3218</v>
      </c>
      <c r="N616" s="133" t="s">
        <v>2045</v>
      </c>
      <c r="O616" s="133" t="s">
        <v>2046</v>
      </c>
      <c r="P616" s="133" t="s">
        <v>2047</v>
      </c>
      <c r="Q616" s="133" t="s">
        <v>2048</v>
      </c>
      <c r="R616" s="318" t="s">
        <v>4189</v>
      </c>
    </row>
    <row r="617" spans="2:18">
      <c r="B617" s="182" t="str">
        <f t="shared" si="31"/>
        <v>248167-barkowy 80N biały</v>
      </c>
      <c r="M617" s="133" t="s">
        <v>3219</v>
      </c>
      <c r="N617" s="133" t="s">
        <v>2049</v>
      </c>
      <c r="O617" s="133" t="s">
        <v>2050</v>
      </c>
      <c r="P617" s="133" t="s">
        <v>2051</v>
      </c>
      <c r="Q617" s="133" t="s">
        <v>2052</v>
      </c>
      <c r="R617" s="318" t="s">
        <v>4190</v>
      </c>
    </row>
    <row r="618" spans="2:18">
      <c r="B618" s="182" t="str">
        <f t="shared" si="31"/>
        <v>507355-22L3200-wysokość szafki=300 – 339 mm</v>
      </c>
      <c r="M618" s="133" t="s">
        <v>2293</v>
      </c>
      <c r="N618" s="133" t="s">
        <v>2297</v>
      </c>
      <c r="O618" s="133" t="s">
        <v>2301</v>
      </c>
      <c r="P618" s="133" t="s">
        <v>2305</v>
      </c>
      <c r="Q618" s="133" t="s">
        <v>2309</v>
      </c>
      <c r="R618" s="318" t="s">
        <v>4191</v>
      </c>
    </row>
    <row r="619" spans="2:18">
      <c r="B619" s="182" t="str">
        <f t="shared" si="31"/>
        <v>507356-22L3500-wysokość szafki=340 – 389 mm</v>
      </c>
      <c r="M619" s="133" t="s">
        <v>2294</v>
      </c>
      <c r="N619" s="133" t="s">
        <v>2298</v>
      </c>
      <c r="O619" s="133" t="s">
        <v>2302</v>
      </c>
      <c r="P619" s="133" t="s">
        <v>2306</v>
      </c>
      <c r="Q619" s="133" t="s">
        <v>2310</v>
      </c>
      <c r="R619" s="318" t="s">
        <v>4192</v>
      </c>
    </row>
    <row r="620" spans="2:18">
      <c r="B620" s="182" t="str">
        <f t="shared" si="31"/>
        <v>507357-22L3800-wysokość szafki=390 – 540 mm</v>
      </c>
      <c r="M620" s="133" t="s">
        <v>2295</v>
      </c>
      <c r="N620" s="133" t="s">
        <v>2299</v>
      </c>
      <c r="O620" s="133" t="s">
        <v>2303</v>
      </c>
      <c r="P620" s="133" t="s">
        <v>2307</v>
      </c>
      <c r="Q620" s="133" t="s">
        <v>2311</v>
      </c>
      <c r="R620" s="318" t="s">
        <v>4193</v>
      </c>
    </row>
    <row r="621" spans="2:18">
      <c r="B621" s="182" t="str">
        <f t="shared" si="31"/>
        <v>507358-22L3900-wysokość szafki=480 – 580 mm</v>
      </c>
      <c r="M621" s="133" t="s">
        <v>2296</v>
      </c>
      <c r="N621" s="133" t="s">
        <v>2300</v>
      </c>
      <c r="O621" s="133" t="s">
        <v>2304</v>
      </c>
      <c r="P621" s="133" t="s">
        <v>2308</v>
      </c>
      <c r="Q621" s="133" t="s">
        <v>2312</v>
      </c>
      <c r="R621" s="318" t="s">
        <v>4194</v>
      </c>
    </row>
    <row r="622" spans="2:18">
      <c r="B622" s="182" t="str">
        <f t="shared" si="31"/>
        <v>Servo:</v>
      </c>
      <c r="M622" s="133" t="s">
        <v>2053</v>
      </c>
      <c r="N622" s="133" t="s">
        <v>2053</v>
      </c>
      <c r="O622" s="133" t="s">
        <v>2053</v>
      </c>
      <c r="P622" s="133" t="s">
        <v>2053</v>
      </c>
      <c r="Q622" s="133" t="s">
        <v>2053</v>
      </c>
      <c r="R622" s="318" t="s">
        <v>4195</v>
      </c>
    </row>
    <row r="623" spans="2:18">
      <c r="B623" s="182" t="str">
        <f t="shared" si="31"/>
        <v>197612-21L3200.01-wysokość szafy=300 – 349 mm</v>
      </c>
      <c r="M623" s="133" t="s">
        <v>2054</v>
      </c>
      <c r="N623" s="133" t="s">
        <v>2055</v>
      </c>
      <c r="O623" s="133" t="s">
        <v>2056</v>
      </c>
      <c r="P623" s="133" t="s">
        <v>2057</v>
      </c>
      <c r="Q623" s="133" t="s">
        <v>2058</v>
      </c>
      <c r="R623" s="318" t="s">
        <v>4196</v>
      </c>
    </row>
    <row r="624" spans="2:18">
      <c r="B624" s="182" t="str">
        <f t="shared" si="31"/>
        <v>197613-21L3500.01-wysokość szafy=350 – 399 mm</v>
      </c>
      <c r="M624" s="133" t="s">
        <v>2059</v>
      </c>
      <c r="N624" s="133" t="s">
        <v>2060</v>
      </c>
      <c r="O624" s="133" t="s">
        <v>2061</v>
      </c>
      <c r="P624" s="133" t="s">
        <v>2062</v>
      </c>
      <c r="Q624" s="133" t="s">
        <v>2063</v>
      </c>
      <c r="R624" s="318" t="s">
        <v>4197</v>
      </c>
    </row>
    <row r="625" spans="2:18">
      <c r="B625" s="182" t="str">
        <f t="shared" si="31"/>
        <v>197614-21L3800.01-wysokość szafy=400 – 550 mm</v>
      </c>
      <c r="M625" s="133" t="s">
        <v>2064</v>
      </c>
      <c r="N625" s="133" t="s">
        <v>2065</v>
      </c>
      <c r="O625" s="133" t="s">
        <v>2066</v>
      </c>
      <c r="P625" s="133" t="s">
        <v>2067</v>
      </c>
      <c r="Q625" s="133" t="s">
        <v>2068</v>
      </c>
      <c r="R625" s="318" t="s">
        <v>4198</v>
      </c>
    </row>
    <row r="626" spans="2:18">
      <c r="B626" s="182" t="str">
        <f t="shared" si="31"/>
        <v>197615-21L3900.01-wysokość szafy=450 – 580 mm</v>
      </c>
      <c r="M626" s="133" t="s">
        <v>2069</v>
      </c>
      <c r="N626" s="133" t="s">
        <v>2070</v>
      </c>
      <c r="O626" s="133" t="s">
        <v>2071</v>
      </c>
      <c r="P626" s="133" t="s">
        <v>2072</v>
      </c>
      <c r="Q626" s="133" t="s">
        <v>2073</v>
      </c>
      <c r="R626" s="318" t="s">
        <v>4199</v>
      </c>
    </row>
    <row r="627" spans="2:18">
      <c r="B627" s="182" t="str">
        <f t="shared" si="31"/>
        <v>Rodzaj szkła/siatka</v>
      </c>
      <c r="M627" s="175" t="s">
        <v>2287</v>
      </c>
      <c r="N627" s="133" t="s">
        <v>2288</v>
      </c>
      <c r="O627" s="133" t="s">
        <v>2289</v>
      </c>
      <c r="P627" s="133" t="s">
        <v>2290</v>
      </c>
      <c r="Q627" s="133" t="s">
        <v>2291</v>
      </c>
      <c r="R627" s="318" t="s">
        <v>4145</v>
      </c>
    </row>
    <row r="628" spans="2:18" ht="45">
      <c r="B628" s="182" t="str">
        <f t="shared" si="31"/>
        <v>W zielonych komórkach określ odległość wiercenia rączki od zewnętrznej krawędzi ramy.</v>
      </c>
      <c r="M628" s="197" t="s">
        <v>2087</v>
      </c>
      <c r="N628" s="197" t="s">
        <v>2088</v>
      </c>
      <c r="O628" s="197" t="s">
        <v>2089</v>
      </c>
      <c r="P628" s="197" t="s">
        <v>2090</v>
      </c>
      <c r="Q628" s="197" t="s">
        <v>2091</v>
      </c>
      <c r="R628" s="323" t="s">
        <v>4200</v>
      </c>
    </row>
    <row r="629" spans="2:18">
      <c r="B629" s="182" t="str">
        <f t="shared" si="31"/>
        <v>Nieprawidłowa kombinacja</v>
      </c>
      <c r="M629" s="133" t="s">
        <v>2107</v>
      </c>
      <c r="N629" s="133" t="s">
        <v>2111</v>
      </c>
      <c r="O629" s="133" t="s">
        <v>2110</v>
      </c>
      <c r="P629" s="133" t="s">
        <v>2109</v>
      </c>
      <c r="Q629" s="133" t="s">
        <v>2108</v>
      </c>
      <c r="R629" s="318" t="s">
        <v>4201</v>
      </c>
    </row>
    <row r="630" spans="2:18">
      <c r="B630" s="182" t="str">
        <f t="shared" si="31"/>
        <v>krzyżakowy, wkręt</v>
      </c>
      <c r="M630" s="175" t="s">
        <v>2119</v>
      </c>
      <c r="N630" s="175" t="s">
        <v>2125</v>
      </c>
      <c r="O630" s="133" t="s">
        <v>2126</v>
      </c>
      <c r="P630" s="133" t="s">
        <v>2127</v>
      </c>
      <c r="Q630" s="133" t="s">
        <v>2128</v>
      </c>
      <c r="R630" s="318" t="s">
        <v>4202</v>
      </c>
    </row>
    <row r="631" spans="2:18">
      <c r="B631" s="182" t="str">
        <f t="shared" si="31"/>
        <v>na wkręt (z mimośrodem)</v>
      </c>
      <c r="M631" s="175" t="s">
        <v>2117</v>
      </c>
      <c r="N631" s="175" t="s">
        <v>2129</v>
      </c>
      <c r="O631" s="133" t="s">
        <v>2130</v>
      </c>
      <c r="P631" s="133" t="s">
        <v>2131</v>
      </c>
      <c r="Q631" s="133" t="s">
        <v>2132</v>
      </c>
      <c r="R631" s="318" t="s">
        <v>4203</v>
      </c>
    </row>
    <row r="632" spans="2:18">
      <c r="B632" s="182" t="str">
        <f t="shared" si="31"/>
        <v>krzyżakowy eurowkręt</v>
      </c>
      <c r="M632" s="175" t="s">
        <v>2120</v>
      </c>
      <c r="N632" s="175" t="s">
        <v>2133</v>
      </c>
      <c r="O632" s="133" t="s">
        <v>2148</v>
      </c>
      <c r="P632" s="133" t="s">
        <v>2134</v>
      </c>
      <c r="Q632" s="133" t="s">
        <v>2135</v>
      </c>
      <c r="R632" s="318" t="s">
        <v>4204</v>
      </c>
    </row>
    <row r="633" spans="2:18">
      <c r="B633" s="182" t="str">
        <f t="shared" si="31"/>
        <v>krzyżakowy expando</v>
      </c>
      <c r="M633" s="175" t="s">
        <v>2121</v>
      </c>
      <c r="N633" s="175" t="s">
        <v>2136</v>
      </c>
      <c r="O633" s="133" t="s">
        <v>2149</v>
      </c>
      <c r="P633" s="133" t="s">
        <v>2137</v>
      </c>
      <c r="Q633" s="133" t="s">
        <v>2137</v>
      </c>
      <c r="R633" s="318" t="s">
        <v>4205</v>
      </c>
    </row>
    <row r="634" spans="2:18">
      <c r="B634" s="182" t="str">
        <f t="shared" si="31"/>
        <v>prosty wkręt</v>
      </c>
      <c r="M634" s="175" t="s">
        <v>2122</v>
      </c>
      <c r="N634" s="175" t="s">
        <v>2138</v>
      </c>
      <c r="O634" s="133" t="s">
        <v>2139</v>
      </c>
      <c r="P634" s="133" t="s">
        <v>2141</v>
      </c>
      <c r="Q634" s="133" t="s">
        <v>2140</v>
      </c>
      <c r="R634" s="318" t="s">
        <v>4206</v>
      </c>
    </row>
    <row r="635" spans="2:18">
      <c r="B635" s="182" t="str">
        <f t="shared" si="31"/>
        <v>prosty eurowkręt</v>
      </c>
      <c r="M635" s="175" t="s">
        <v>2123</v>
      </c>
      <c r="N635" s="175" t="s">
        <v>2123</v>
      </c>
      <c r="O635" s="133" t="s">
        <v>2144</v>
      </c>
      <c r="P635" s="133" t="s">
        <v>2142</v>
      </c>
      <c r="Q635" s="133" t="s">
        <v>2143</v>
      </c>
      <c r="R635" s="318" t="s">
        <v>4207</v>
      </c>
    </row>
    <row r="636" spans="2:18">
      <c r="B636" s="182" t="str">
        <f t="shared" si="31"/>
        <v>prosty expando</v>
      </c>
      <c r="M636" s="175" t="s">
        <v>2124</v>
      </c>
      <c r="N636" s="175" t="s">
        <v>2124</v>
      </c>
      <c r="O636" s="133" t="s">
        <v>2145</v>
      </c>
      <c r="P636" s="133" t="s">
        <v>2146</v>
      </c>
      <c r="Q636" s="133" t="s">
        <v>2147</v>
      </c>
      <c r="R636" s="318" t="s">
        <v>4208</v>
      </c>
    </row>
    <row r="637" spans="2:18">
      <c r="B637" s="182" t="str">
        <f t="shared" ref="B637:B653" si="32">IF($D$1=1,M637,IF($D$1=2,N637,IF($D$1=3,O637,IF($D$1=4,P637,IF($D$1=5,Q637,IF($D$1=6,R637,0))))))</f>
        <v>długość max. 2150 mm</v>
      </c>
      <c r="M637" s="133" t="s">
        <v>2163</v>
      </c>
      <c r="N637" s="133" t="s">
        <v>2164</v>
      </c>
      <c r="O637" s="133" t="s">
        <v>2165</v>
      </c>
      <c r="P637" s="133" t="s">
        <v>2265</v>
      </c>
      <c r="Q637" s="133" t="s">
        <v>2166</v>
      </c>
      <c r="R637" s="318" t="s">
        <v>4209</v>
      </c>
    </row>
    <row r="638" spans="2:18">
      <c r="B638" s="182" t="str">
        <f t="shared" si="32"/>
        <v>Odległość od dolnej krawędzi</v>
      </c>
      <c r="M638" s="175" t="s">
        <v>3216</v>
      </c>
      <c r="N638" s="133" t="s">
        <v>2182</v>
      </c>
      <c r="O638" s="133" t="s">
        <v>2180</v>
      </c>
      <c r="P638" s="133" t="s">
        <v>2184</v>
      </c>
      <c r="Q638" s="133" t="s">
        <v>2178</v>
      </c>
      <c r="R638" s="318" t="s">
        <v>4210</v>
      </c>
    </row>
    <row r="639" spans="2:18">
      <c r="B639" s="182" t="str">
        <f t="shared" si="32"/>
        <v>Odległość od górnej krawędzi</v>
      </c>
      <c r="M639" s="175" t="s">
        <v>3217</v>
      </c>
      <c r="N639" s="133" t="s">
        <v>2183</v>
      </c>
      <c r="O639" s="133" t="s">
        <v>2181</v>
      </c>
      <c r="P639" s="133" t="s">
        <v>2185</v>
      </c>
      <c r="Q639" s="133" t="s">
        <v>2179</v>
      </c>
      <c r="R639" s="318" t="s">
        <v>4211</v>
      </c>
    </row>
    <row r="640" spans="2:18">
      <c r="B640" s="182" t="str">
        <f t="shared" si="32"/>
        <v>Bez modyfikacji</v>
      </c>
      <c r="M640" s="133" t="s">
        <v>1139</v>
      </c>
      <c r="N640" s="133" t="s">
        <v>1139</v>
      </c>
      <c r="O640" s="133" t="s">
        <v>1140</v>
      </c>
      <c r="P640" s="133" t="s">
        <v>1138</v>
      </c>
      <c r="Q640" s="133" t="s">
        <v>1438</v>
      </c>
      <c r="R640" s="318" t="s">
        <v>4212</v>
      </c>
    </row>
    <row r="641" spans="2:18">
      <c r="B641" s="182" t="str">
        <f t="shared" si="32"/>
        <v>Hartowane (termin dostawy 4 tygodnie)</v>
      </c>
      <c r="M641" s="133" t="s">
        <v>3118</v>
      </c>
      <c r="N641" s="133" t="s">
        <v>3119</v>
      </c>
      <c r="O641" s="133" t="s">
        <v>3120</v>
      </c>
      <c r="P641" s="133" t="s">
        <v>3121</v>
      </c>
      <c r="Q641" s="133" t="s">
        <v>3122</v>
      </c>
      <c r="R641" s="318" t="s">
        <v>4213</v>
      </c>
    </row>
    <row r="642" spans="2:18">
      <c r="B642" s="182" t="str">
        <f t="shared" si="32"/>
        <v>Folia</v>
      </c>
      <c r="M642" s="133" t="s">
        <v>933</v>
      </c>
      <c r="N642" s="133" t="s">
        <v>933</v>
      </c>
      <c r="O642" s="133" t="s">
        <v>1141</v>
      </c>
      <c r="P642" s="133" t="s">
        <v>1142</v>
      </c>
      <c r="Q642" s="133" t="s">
        <v>1437</v>
      </c>
      <c r="R642" s="318" t="s">
        <v>4011</v>
      </c>
    </row>
    <row r="643" spans="2:18" ht="58.5">
      <c r="B643" s="182" t="str">
        <f t="shared" si="32"/>
        <v xml:space="preserve">Ramki aluminiowe bez szkła dostarczane są w stanie rozmontowanym. </v>
      </c>
      <c r="M643" s="199" t="s">
        <v>2258</v>
      </c>
      <c r="N643" s="199" t="s">
        <v>2257</v>
      </c>
      <c r="O643" s="199" t="s">
        <v>2259</v>
      </c>
      <c r="P643" s="204" t="s">
        <v>2260</v>
      </c>
      <c r="Q643" s="226" t="s">
        <v>2325</v>
      </c>
      <c r="R643" s="318" t="s">
        <v>4214</v>
      </c>
    </row>
    <row r="644" spans="2:18" ht="74.25" customHeight="1">
      <c r="B644" s="182" t="str">
        <f t="shared" si="32"/>
        <v>Maksym. zalecany rozmiar to 1500 x 600 mm. Przy zamówieniu większego rozmiaru szyba może wysunąć się z profilu. Producent nie odpowiada za tego typu reklamacje.</v>
      </c>
      <c r="M644" s="197" t="s">
        <v>2266</v>
      </c>
      <c r="N644" s="212" t="s">
        <v>2268</v>
      </c>
      <c r="O644" s="197" t="s">
        <v>2269</v>
      </c>
      <c r="P644" s="211" t="s">
        <v>2267</v>
      </c>
      <c r="Q644" s="197" t="s">
        <v>2270</v>
      </c>
      <c r="R644" s="323" t="s">
        <v>4215</v>
      </c>
    </row>
    <row r="645" spans="2:18">
      <c r="B645" s="182" t="str">
        <f t="shared" si="32"/>
        <v>Odległość od prawej krawędzi</v>
      </c>
      <c r="M645" s="175" t="s">
        <v>4519</v>
      </c>
      <c r="N645" s="133" t="s">
        <v>4520</v>
      </c>
      <c r="O645" s="133" t="s">
        <v>4521</v>
      </c>
      <c r="P645" s="133" t="s">
        <v>4523</v>
      </c>
      <c r="Q645" s="133" t="s">
        <v>4522</v>
      </c>
      <c r="R645" s="318" t="s">
        <v>4524</v>
      </c>
    </row>
    <row r="646" spans="2:18">
      <c r="B646" s="182" t="str">
        <f t="shared" si="32"/>
        <v>520405 SALICE AIR SOFT zawiasy niklowe o kącie otwarcia 92° kpl. 2 szt</v>
      </c>
      <c r="M646" s="34" t="s">
        <v>2570</v>
      </c>
      <c r="N646" s="34" t="s">
        <v>2570</v>
      </c>
      <c r="O646" s="34" t="s">
        <v>2571</v>
      </c>
      <c r="P646" t="s">
        <v>2572</v>
      </c>
      <c r="R646" t="s">
        <v>4216</v>
      </c>
    </row>
    <row r="647" spans="2:18">
      <c r="B647" s="182" t="str">
        <f t="shared" si="32"/>
        <v>520406 SALICE AIR PUSH TO OPEN zawiasy niklowe z zestawem adapterów 2 szt</v>
      </c>
      <c r="M647" s="34" t="s">
        <v>2573</v>
      </c>
      <c r="N647" s="34" t="s">
        <v>2573</v>
      </c>
      <c r="O647" s="34" t="s">
        <v>2574</v>
      </c>
      <c r="P647" t="s">
        <v>2575</v>
      </c>
      <c r="R647" t="s">
        <v>4217</v>
      </c>
    </row>
    <row r="648" spans="2:18">
      <c r="B648" s="182" t="str">
        <f t="shared" si="32"/>
        <v>520407 SALICE AIR PUSH TO OPEN zawiasy niklowe z zestawem adapterów 2 szt</v>
      </c>
      <c r="M648" s="34" t="s">
        <v>2576</v>
      </c>
      <c r="N648" s="34" t="s">
        <v>2576</v>
      </c>
      <c r="O648" s="34" t="s">
        <v>2577</v>
      </c>
      <c r="P648" t="s">
        <v>2575</v>
      </c>
      <c r="R648" t="s">
        <v>4218</v>
      </c>
    </row>
    <row r="649" spans="2:18">
      <c r="B649" s="182" t="str">
        <f t="shared" si="32"/>
        <v>520408 SALICE AIR SOFT zawiasy niklowe z zestawem adapterów 2 szt</v>
      </c>
      <c r="M649" s="34" t="s">
        <v>2578</v>
      </c>
      <c r="N649" s="34" t="s">
        <v>2578</v>
      </c>
      <c r="O649" s="34" t="s">
        <v>2579</v>
      </c>
      <c r="P649" t="s">
        <v>2580</v>
      </c>
      <c r="R649" t="s">
        <v>4219</v>
      </c>
    </row>
    <row r="650" spans="2:18">
      <c r="B650" s="182" t="str">
        <f t="shared" si="32"/>
        <v>520410 SALICE AIR SOFT TITANIUM  zawiasy o kącie otwarcia 92° kpl. 2 szt</v>
      </c>
      <c r="M650" s="34" t="s">
        <v>2581</v>
      </c>
      <c r="N650" s="34" t="s">
        <v>2581</v>
      </c>
      <c r="O650" s="34" t="s">
        <v>2582</v>
      </c>
      <c r="P650" t="s">
        <v>2583</v>
      </c>
      <c r="R650" t="s">
        <v>4220</v>
      </c>
    </row>
    <row r="651" spans="2:18">
      <c r="B651" s="182" t="str">
        <f t="shared" si="32"/>
        <v>520411 SALICE AIR TITANIUM PUSH TO OPEN zawiasy komplet 2 szt</v>
      </c>
      <c r="M651" s="34" t="s">
        <v>2584</v>
      </c>
      <c r="N651" s="34" t="s">
        <v>2584</v>
      </c>
      <c r="O651" s="34" t="s">
        <v>2585</v>
      </c>
      <c r="P651" t="s">
        <v>2586</v>
      </c>
      <c r="R651" t="s">
        <v>4221</v>
      </c>
    </row>
    <row r="652" spans="2:18">
      <c r="B652" s="182" t="str">
        <f t="shared" si="32"/>
        <v>520412 SALICE AIR TITANIUM PUSH TO OPEN zawiasy z zestawem adapterów 2 szt</v>
      </c>
      <c r="M652" s="34" t="s">
        <v>2587</v>
      </c>
      <c r="N652" s="34" t="s">
        <v>2587</v>
      </c>
      <c r="O652" s="34" t="s">
        <v>2588</v>
      </c>
      <c r="P652" t="s">
        <v>2589</v>
      </c>
      <c r="R652" t="s">
        <v>4222</v>
      </c>
    </row>
    <row r="653" spans="2:18">
      <c r="B653" s="182" t="str">
        <f t="shared" si="32"/>
        <v>520413 SALICE AIR SOFT TITANIUM zawiasy z zestawem adapterów 2 szt</v>
      </c>
      <c r="M653" t="s">
        <v>2590</v>
      </c>
      <c r="N653" t="s">
        <v>2590</v>
      </c>
      <c r="O653" t="s">
        <v>2591</v>
      </c>
      <c r="P653" t="s">
        <v>2592</v>
      </c>
      <c r="R653" t="s">
        <v>4223</v>
      </c>
    </row>
    <row r="654" spans="2:18">
      <c r="R654" s="318"/>
    </row>
    <row r="655" spans="2:18">
      <c r="B655" s="182" t="str">
        <f t="shared" ref="B655:B657" si="33">IF($D$1=1,M655,IF($D$1=2,N655,IF($D$1=3,O655,IF($D$1=4,P655,IF($D$1=5,Q655,IF($D$1=6,R655,0))))))</f>
        <v>Wypełnienie z siatki</v>
      </c>
      <c r="M655" s="133" t="s">
        <v>2273</v>
      </c>
      <c r="N655" s="133" t="s">
        <v>2379</v>
      </c>
      <c r="O655" s="133" t="s">
        <v>2510</v>
      </c>
      <c r="P655" s="222" t="s">
        <v>4250</v>
      </c>
      <c r="Q655" s="133" t="s">
        <v>4251</v>
      </c>
      <c r="R655" t="s">
        <v>4252</v>
      </c>
    </row>
    <row r="656" spans="2:18">
      <c r="B656" s="182" t="str">
        <f t="shared" si="33"/>
        <v>maks. wymiar 1000x500mm</v>
      </c>
      <c r="M656" s="133" t="s">
        <v>2277</v>
      </c>
      <c r="N656" s="133" t="s">
        <v>2278</v>
      </c>
      <c r="O656" s="133" t="s">
        <v>2279</v>
      </c>
      <c r="P656" s="133" t="s">
        <v>2280</v>
      </c>
      <c r="Q656" s="133" t="s">
        <v>2281</v>
      </c>
      <c r="R656" t="s">
        <v>4224</v>
      </c>
    </row>
    <row r="657" spans="2:18">
      <c r="B657" s="182" t="str">
        <f t="shared" si="33"/>
        <v>maks. wymiar 1100x500mm</v>
      </c>
      <c r="M657" s="133" t="s">
        <v>4489</v>
      </c>
      <c r="N657" s="133" t="s">
        <v>4490</v>
      </c>
      <c r="O657" s="133" t="s">
        <v>4491</v>
      </c>
      <c r="P657" s="133" t="s">
        <v>4493</v>
      </c>
      <c r="Q657" s="133" t="s">
        <v>4494</v>
      </c>
      <c r="R657" t="s">
        <v>4492</v>
      </c>
    </row>
    <row r="658" spans="2:18">
      <c r="B658" s="182" t="str">
        <f t="shared" ref="B658:B676" si="34">IF($D$1=1,M658,IF($D$1=2,N658,IF($D$1=3,O658,IF($D$1=4,P658,IF($D$1=5,Q658,IF($D$1=6,R658,0))))))</f>
        <v>Rodzaj siatky</v>
      </c>
      <c r="M658" s="133" t="s">
        <v>2282</v>
      </c>
      <c r="N658" s="133" t="s">
        <v>2283</v>
      </c>
      <c r="O658" s="133" t="s">
        <v>2284</v>
      </c>
      <c r="P658" s="133" t="s">
        <v>2285</v>
      </c>
      <c r="Q658" s="133" t="s">
        <v>2286</v>
      </c>
      <c r="R658" t="s">
        <v>4225</v>
      </c>
    </row>
    <row r="659" spans="2:18">
      <c r="B659" s="182" t="str">
        <f t="shared" si="34"/>
        <v xml:space="preserve">Nie istnieje wariant półnakładany i wpuszczany </v>
      </c>
      <c r="M659" s="133" t="s">
        <v>2366</v>
      </c>
      <c r="N659" s="133" t="s">
        <v>2366</v>
      </c>
      <c r="O659" s="133" t="s">
        <v>2367</v>
      </c>
      <c r="P659" s="133" t="s">
        <v>2368</v>
      </c>
      <c r="Q659" s="133" t="s">
        <v>2369</v>
      </c>
      <c r="R659" t="s">
        <v>4226</v>
      </c>
    </row>
    <row r="660" spans="2:18">
      <c r="B660" s="182" t="str">
        <f t="shared" si="34"/>
        <v>Szlifowanie krawędzi</v>
      </c>
      <c r="M660" s="133" t="s">
        <v>1435</v>
      </c>
      <c r="N660" s="133" t="s">
        <v>2380</v>
      </c>
      <c r="O660" s="133" t="s">
        <v>2381</v>
      </c>
      <c r="P660" s="133" t="s">
        <v>2383</v>
      </c>
      <c r="Q660" s="133" t="s">
        <v>2382</v>
      </c>
      <c r="R660" t="s">
        <v>4227</v>
      </c>
    </row>
    <row r="661" spans="2:18">
      <c r="B661" s="182" t="str">
        <f t="shared" si="34"/>
        <v>StrongLift_gorny</v>
      </c>
      <c r="M661" t="s">
        <v>2501</v>
      </c>
      <c r="N661" t="s">
        <v>2512</v>
      </c>
      <c r="O661" t="s">
        <v>2511</v>
      </c>
      <c r="P661" t="s">
        <v>2514</v>
      </c>
      <c r="Q661" t="s">
        <v>2515</v>
      </c>
      <c r="R661" t="s">
        <v>4107</v>
      </c>
    </row>
    <row r="662" spans="2:18">
      <c r="B662" s="182" t="str">
        <f t="shared" si="34"/>
        <v>StrongLift_dolny</v>
      </c>
      <c r="M662" t="s">
        <v>2502</v>
      </c>
      <c r="N662" t="s">
        <v>2513</v>
      </c>
      <c r="O662" t="s">
        <v>2516</v>
      </c>
      <c r="P662" t="s">
        <v>2517</v>
      </c>
      <c r="Q662" t="s">
        <v>2518</v>
      </c>
      <c r="R662" t="s">
        <v>4108</v>
      </c>
    </row>
    <row r="663" spans="2:18">
      <c r="B663" s="182" t="str">
        <f t="shared" si="34"/>
        <v>zawias do korpusu</v>
      </c>
      <c r="M663" s="133" t="s">
        <v>2519</v>
      </c>
      <c r="N663" s="133" t="s">
        <v>2520</v>
      </c>
      <c r="O663" s="133" t="s">
        <v>2521</v>
      </c>
      <c r="P663" s="133" t="s">
        <v>2531</v>
      </c>
      <c r="Q663" s="133" t="s">
        <v>2522</v>
      </c>
      <c r="R663" t="s">
        <v>4081</v>
      </c>
    </row>
    <row r="664" spans="2:18">
      <c r="B664" s="182" t="str">
        <f t="shared" si="34"/>
        <v>z tłumieniem</v>
      </c>
      <c r="M664" t="s">
        <v>1063</v>
      </c>
      <c r="N664" t="s">
        <v>2523</v>
      </c>
      <c r="O664" s="133" t="s">
        <v>2524</v>
      </c>
      <c r="P664" s="133" t="s">
        <v>3473</v>
      </c>
      <c r="Q664" t="s">
        <v>2525</v>
      </c>
      <c r="R664" t="s">
        <v>4080</v>
      </c>
    </row>
    <row r="665" spans="2:18">
      <c r="B665" s="182" t="str">
        <f t="shared" si="34"/>
        <v>gorny</v>
      </c>
      <c r="M665" s="175" t="s">
        <v>3006</v>
      </c>
      <c r="N665" s="175" t="s">
        <v>3007</v>
      </c>
      <c r="O665" s="133" t="s">
        <v>2526</v>
      </c>
      <c r="P665" t="s">
        <v>2528</v>
      </c>
      <c r="Q665" s="133" t="s">
        <v>2530</v>
      </c>
      <c r="R665" t="s">
        <v>4120</v>
      </c>
    </row>
    <row r="666" spans="2:18">
      <c r="B666" s="182" t="str">
        <f t="shared" si="34"/>
        <v>dolny</v>
      </c>
      <c r="M666" t="s">
        <v>425</v>
      </c>
      <c r="N666" t="s">
        <v>3008</v>
      </c>
      <c r="O666" t="s">
        <v>2527</v>
      </c>
      <c r="P666" t="s">
        <v>2529</v>
      </c>
      <c r="Q666" t="s">
        <v>1367</v>
      </c>
      <c r="R666" t="s">
        <v>4082</v>
      </c>
    </row>
    <row r="667" spans="2:18">
      <c r="B667" s="182" t="str">
        <f t="shared" si="34"/>
        <v>Wąska ALU ramka</v>
      </c>
      <c r="M667" s="175" t="s">
        <v>456</v>
      </c>
      <c r="N667" s="133" t="s">
        <v>2532</v>
      </c>
      <c r="O667" s="133" t="s">
        <v>251</v>
      </c>
      <c r="P667" s="133" t="s">
        <v>313</v>
      </c>
      <c r="Q667" s="133" t="s">
        <v>1356</v>
      </c>
      <c r="R667" t="s">
        <v>4083</v>
      </c>
    </row>
    <row r="668" spans="2:18">
      <c r="B668" s="182" t="str">
        <f t="shared" si="34"/>
        <v>Szeroka ALU ramka</v>
      </c>
      <c r="M668" s="175" t="s">
        <v>455</v>
      </c>
      <c r="N668" s="133" t="s">
        <v>455</v>
      </c>
      <c r="O668" s="133" t="s">
        <v>252</v>
      </c>
      <c r="P668" s="133" t="s">
        <v>314</v>
      </c>
      <c r="Q668" s="133" t="s">
        <v>1357</v>
      </c>
      <c r="R668" t="s">
        <v>4084</v>
      </c>
    </row>
    <row r="669" spans="2:18">
      <c r="R669"/>
    </row>
    <row r="670" spans="2:18">
      <c r="B670" s="182" t="str">
        <f t="shared" si="34"/>
        <v>Przekroczono maksymalny wymiar szkła</v>
      </c>
      <c r="M670" s="133" t="s">
        <v>2555</v>
      </c>
      <c r="N670" s="133" t="s">
        <v>2556</v>
      </c>
      <c r="O670" s="133" t="s">
        <v>2557</v>
      </c>
      <c r="P670" s="133" t="s">
        <v>2559</v>
      </c>
      <c r="Q670" s="133" t="s">
        <v>2558</v>
      </c>
      <c r="R670" t="s">
        <v>4228</v>
      </c>
    </row>
    <row r="671" spans="2:18">
      <c r="B671" s="182" t="str">
        <f t="shared" si="34"/>
        <v>przezroczystość 50%</v>
      </c>
      <c r="M671" s="133" t="s">
        <v>3031</v>
      </c>
      <c r="N671" s="133" t="s">
        <v>3033</v>
      </c>
      <c r="O671" s="133" t="s">
        <v>3035</v>
      </c>
      <c r="P671" s="133" t="s">
        <v>3037</v>
      </c>
      <c r="Q671" s="133" t="s">
        <v>3039</v>
      </c>
      <c r="R671" t="s">
        <v>4229</v>
      </c>
    </row>
    <row r="672" spans="2:18">
      <c r="B672" s="182" t="str">
        <f t="shared" si="34"/>
        <v>przezroczystość 67%</v>
      </c>
      <c r="M672" s="133" t="s">
        <v>3032</v>
      </c>
      <c r="N672" s="133" t="s">
        <v>3034</v>
      </c>
      <c r="O672" s="133" t="s">
        <v>3036</v>
      </c>
      <c r="P672" s="133" t="s">
        <v>3038</v>
      </c>
      <c r="Q672" s="133" t="s">
        <v>3040</v>
      </c>
      <c r="R672" t="s">
        <v>4012</v>
      </c>
    </row>
    <row r="673" spans="2:18">
      <c r="B673" s="182" t="str">
        <f t="shared" si="34"/>
        <v>Przy odbiorze przesyłki kupujący powinien sprawdzić towar i w przypadku stwierdzenia widocznych uszkodzeń transportowych niezwłocznie zgłosić je kurierowi, spisując protokół. W przeciwnym razie reklamacja może zostać odrzucona.</v>
      </c>
      <c r="M673" s="133" t="s">
        <v>4362</v>
      </c>
      <c r="N673" s="133" t="s">
        <v>4363</v>
      </c>
      <c r="O673" s="133" t="s">
        <v>4365</v>
      </c>
      <c r="P673" s="133" t="s">
        <v>4364</v>
      </c>
      <c r="Q673" s="133" t="s">
        <v>4366</v>
      </c>
      <c r="R673" s="133" t="s">
        <v>4367</v>
      </c>
    </row>
    <row r="674" spans="2:18">
      <c r="B674" s="182" t="str">
        <f t="shared" si="34"/>
        <v>Odległość od górnej krawędzi</v>
      </c>
      <c r="M674" s="175" t="s">
        <v>3217</v>
      </c>
      <c r="N674" s="133" t="s">
        <v>4525</v>
      </c>
      <c r="O674" s="133" t="s">
        <v>2181</v>
      </c>
      <c r="P674" s="133" t="s">
        <v>4528</v>
      </c>
      <c r="Q674" s="133" t="s">
        <v>4530</v>
      </c>
      <c r="R674" t="s">
        <v>4527</v>
      </c>
    </row>
    <row r="675" spans="2:18">
      <c r="B675" s="182" t="str">
        <f t="shared" si="34"/>
        <v>Odległość od dolnej krawędzi</v>
      </c>
      <c r="M675" s="175" t="s">
        <v>3216</v>
      </c>
      <c r="N675" s="133" t="s">
        <v>4526</v>
      </c>
      <c r="O675" s="133" t="s">
        <v>2180</v>
      </c>
      <c r="P675" s="133" t="s">
        <v>4529</v>
      </c>
      <c r="Q675" s="133" t="s">
        <v>2178</v>
      </c>
      <c r="R675" s="133" t="s">
        <v>4531</v>
      </c>
    </row>
    <row r="676" spans="2:18" ht="75">
      <c r="B676" s="182" t="str">
        <f t="shared" si="34"/>
        <v>Nie ma możliwości wiercenia w profilu Rimini, dlatego nie można go montować na zawiasach ani podnosnikow. Maksymalny rozmiar ramy to 1100 x 500 mm i nie jest dostępna bez szyby.</v>
      </c>
      <c r="M676" s="133" t="s">
        <v>4549</v>
      </c>
      <c r="N676" s="133" t="s">
        <v>4553</v>
      </c>
      <c r="O676" s="133" t="s">
        <v>4552</v>
      </c>
      <c r="P676" s="197" t="s">
        <v>4548</v>
      </c>
      <c r="Q676" s="133" t="s">
        <v>4551</v>
      </c>
      <c r="R676" s="133" t="s">
        <v>4550</v>
      </c>
    </row>
    <row r="682" spans="2:18">
      <c r="B682" s="182" t="str">
        <f t="shared" ref="B682:B696" si="35">IF($D$1=1,M682,IF($D$1=2,N682,IF($D$1=3,O682,IF($D$1=4,P682,IF($D$1=5,Q682,IF($D$1=6,R682,0))))))</f>
        <v>Warunki i zalecenia dotyczące prawidłowego zamawiania ramek aluminiowych.</v>
      </c>
      <c r="M682" s="1" t="s">
        <v>2594</v>
      </c>
      <c r="N682" t="s">
        <v>2595</v>
      </c>
      <c r="O682" t="s">
        <v>3492</v>
      </c>
      <c r="P682" t="s">
        <v>2596</v>
      </c>
      <c r="Q682" s="133" t="s">
        <v>2597</v>
      </c>
      <c r="R682" t="s">
        <v>4230</v>
      </c>
    </row>
    <row r="683" spans="2:18">
      <c r="B683" s="182" t="str">
        <f t="shared" si="35"/>
        <v>Ogólne zalecenia:</v>
      </c>
      <c r="M683" s="1" t="s">
        <v>2598</v>
      </c>
      <c r="N683" t="s">
        <v>2599</v>
      </c>
      <c r="O683" t="s">
        <v>2638</v>
      </c>
      <c r="P683" t="s">
        <v>2600</v>
      </c>
      <c r="Q683" s="133" t="s">
        <v>2601</v>
      </c>
      <c r="R683" t="s">
        <v>4231</v>
      </c>
    </row>
    <row r="684" spans="2:18">
      <c r="B684" s="182" t="str">
        <f t="shared" si="35"/>
        <v>Podczas wypełniania formularza wypełniaj zawsze od góry do dołu.</v>
      </c>
      <c r="M684" s="1" t="s">
        <v>2602</v>
      </c>
      <c r="N684" t="s">
        <v>2603</v>
      </c>
      <c r="O684" t="s">
        <v>3494</v>
      </c>
      <c r="P684" t="s">
        <v>2604</v>
      </c>
      <c r="Q684" s="133" t="s">
        <v>2605</v>
      </c>
      <c r="R684" t="s">
        <v>4232</v>
      </c>
    </row>
    <row r="685" spans="2:18">
      <c r="B685" s="182" t="str">
        <f t="shared" si="35"/>
        <v>Jeśli dokonasz zmiany wstecz, konieczne będzie ponowne wpisanie danych poniżej zmiany.</v>
      </c>
      <c r="M685" s="1" t="s">
        <v>2606</v>
      </c>
      <c r="N685" t="s">
        <v>2607</v>
      </c>
      <c r="O685" t="s">
        <v>3495</v>
      </c>
      <c r="P685" t="s">
        <v>2608</v>
      </c>
      <c r="Q685" s="133" t="s">
        <v>2609</v>
      </c>
      <c r="R685" t="s">
        <v>4233</v>
      </c>
    </row>
    <row r="686" spans="2:18">
      <c r="B686" s="182" t="str">
        <f t="shared" si="35"/>
        <v>Przed wysłaniem zamówienia sprawdź formularz, czy są wpisane tylko te ramki, które chcesz zamówić.</v>
      </c>
      <c r="M686" s="1" t="s">
        <v>2610</v>
      </c>
      <c r="N686" t="s">
        <v>2611</v>
      </c>
      <c r="O686" t="s">
        <v>3496</v>
      </c>
      <c r="P686" t="s">
        <v>2612</v>
      </c>
      <c r="Q686" s="133" t="s">
        <v>2613</v>
      </c>
      <c r="R686" t="s">
        <v>4234</v>
      </c>
    </row>
    <row r="687" spans="2:18">
      <c r="B687" s="182" t="str">
        <f t="shared" si="35"/>
        <v>Standardowy czas realizacji zamówienia wynosi maksymalnie trzy tygodnie. Aby uzyskać dokładniejsze informacje na temat terminu dostawy, prosimy o kontakt z pracownikami Biura Obsługi Klienta tel. 32 790 85 82.</v>
      </c>
      <c r="M687" s="1" t="s">
        <v>2614</v>
      </c>
      <c r="N687" t="s">
        <v>2615</v>
      </c>
      <c r="O687" t="s">
        <v>3505</v>
      </c>
      <c r="P687" t="s">
        <v>2616</v>
      </c>
      <c r="Q687" s="133" t="s">
        <v>2617</v>
      </c>
      <c r="R687" t="s">
        <v>4235</v>
      </c>
    </row>
    <row r="688" spans="2:18">
      <c r="B688" s="182" t="str">
        <f t="shared" si="35"/>
        <v>Praktyczne informacje:</v>
      </c>
      <c r="M688" s="1" t="s">
        <v>2618</v>
      </c>
      <c r="N688" t="s">
        <v>2619</v>
      </c>
      <c r="O688" t="s">
        <v>2639</v>
      </c>
      <c r="P688" t="s">
        <v>2620</v>
      </c>
      <c r="Q688" s="133" t="s">
        <v>2621</v>
      </c>
      <c r="R688" t="s">
        <v>4236</v>
      </c>
    </row>
    <row r="689" spans="2:18">
      <c r="B689" s="182" t="str">
        <f t="shared" si="35"/>
        <v>Dla większych wymiarów ramki niż 2500 mm zalecamy użycie szprosów, w przeciwnym razie istnieje ryzyko wygięcia profilu lub wysunięcia szkła z profilu.</v>
      </c>
      <c r="M689" s="1" t="s">
        <v>2622</v>
      </c>
      <c r="N689" t="s">
        <v>2623</v>
      </c>
      <c r="O689" t="s">
        <v>2640</v>
      </c>
      <c r="P689" t="s">
        <v>2624</v>
      </c>
      <c r="Q689" s="133" t="s">
        <v>2625</v>
      </c>
      <c r="R689" t="s">
        <v>4237</v>
      </c>
    </row>
    <row r="690" spans="2:18">
      <c r="B690" s="182" t="str">
        <f t="shared" si="35"/>
        <v>Do ramek ponadwymiarowych (ponad wymiar 1200 x 800 mm) może zostać doliczona opłata za specjalne pakowanie i transport (więcej informacji u pracowników Obsługi Klienta).</v>
      </c>
      <c r="M690" s="1" t="s">
        <v>2626</v>
      </c>
      <c r="N690" t="s">
        <v>2627</v>
      </c>
      <c r="O690" t="s">
        <v>2641</v>
      </c>
      <c r="P690" t="s">
        <v>2628</v>
      </c>
      <c r="Q690" s="133" t="s">
        <v>2629</v>
      </c>
      <c r="R690" t="s">
        <v>4238</v>
      </c>
    </row>
    <row r="691" spans="2:18">
      <c r="B691" s="182" t="str">
        <f t="shared" si="35"/>
        <v>Siatka w ramce jest standardowo ustawiona poziomo. Jeśli otwory siatki mają być ustawione pionowo, prosimy o wskazanie tego w uwagach.</v>
      </c>
      <c r="M691" s="1" t="s">
        <v>2630</v>
      </c>
      <c r="N691" t="s">
        <v>2631</v>
      </c>
      <c r="O691" t="s">
        <v>2642</v>
      </c>
      <c r="P691" t="s">
        <v>2632</v>
      </c>
      <c r="Q691" s="133" t="s">
        <v>2633</v>
      </c>
      <c r="R691" t="s">
        <v>4239</v>
      </c>
    </row>
    <row r="692" spans="2:18">
      <c r="B692" s="182" t="str">
        <f t="shared" si="35"/>
        <v>Potwierdzam, że rozumiem i akceptuję powyższe warunki i zalecenia.</v>
      </c>
      <c r="M692" s="1" t="s">
        <v>2634</v>
      </c>
      <c r="N692" t="s">
        <v>2635</v>
      </c>
      <c r="O692" t="s">
        <v>2643</v>
      </c>
      <c r="P692" t="s">
        <v>2636</v>
      </c>
      <c r="Q692" s="133" t="s">
        <v>3658</v>
      </c>
      <c r="R692" t="s">
        <v>4240</v>
      </c>
    </row>
    <row r="693" spans="2:18" ht="23.45" customHeight="1">
      <c r="B693" s="182" t="str">
        <f t="shared" si="35"/>
        <v>Wybrany rozmiar ramki nie odpowiada maksymalnym wymiarom szkła lub profilu</v>
      </c>
      <c r="M693" s="197" t="s">
        <v>3225</v>
      </c>
      <c r="N693" s="133" t="s">
        <v>3228</v>
      </c>
      <c r="O693" s="133" t="s">
        <v>3226</v>
      </c>
      <c r="P693" s="133" t="s">
        <v>3229</v>
      </c>
      <c r="Q693" s="197" t="s">
        <v>3227</v>
      </c>
      <c r="R693" s="325" t="s">
        <v>4241</v>
      </c>
    </row>
    <row r="694" spans="2:18">
      <c r="B694" s="182" t="str">
        <f t="shared" si="35"/>
        <v>Suma</v>
      </c>
      <c r="M694" s="175" t="s">
        <v>1196</v>
      </c>
      <c r="N694" s="133" t="s">
        <v>1196</v>
      </c>
      <c r="O694" s="133" t="s">
        <v>259</v>
      </c>
      <c r="P694" s="133" t="s">
        <v>3223</v>
      </c>
      <c r="Q694" s="133" t="s">
        <v>3224</v>
      </c>
      <c r="R694" t="s">
        <v>4242</v>
      </c>
    </row>
    <row r="695" spans="2:18">
      <c r="B695" s="182" t="str">
        <f t="shared" si="35"/>
        <v>Cena okuć</v>
      </c>
      <c r="M695" s="133" t="s">
        <v>3514</v>
      </c>
      <c r="N695" s="133" t="s">
        <v>3515</v>
      </c>
      <c r="O695" s="133" t="s">
        <v>212</v>
      </c>
      <c r="P695" s="133" t="s">
        <v>3516</v>
      </c>
      <c r="Q695" s="133" t="s">
        <v>1442</v>
      </c>
      <c r="R695" t="s">
        <v>4243</v>
      </c>
    </row>
    <row r="696" spans="2:18">
      <c r="B696" s="182" t="str">
        <f t="shared" si="35"/>
        <v>Kolor profilu i siatki może się różnić z powodu tolerancji w procesie produkcji.</v>
      </c>
      <c r="M696" s="133" t="s">
        <v>3474</v>
      </c>
      <c r="N696" s="133" t="s">
        <v>3475</v>
      </c>
      <c r="O696" s="133" t="s">
        <v>3476</v>
      </c>
      <c r="P696" s="133" t="s">
        <v>3477</v>
      </c>
      <c r="Q696" s="133" t="s">
        <v>3478</v>
      </c>
      <c r="R696" s="318" t="s">
        <v>4142</v>
      </c>
    </row>
    <row r="697" spans="2:18">
      <c r="B697" s="133" t="str">
        <f>O697</f>
        <v>Koszt transportu musi zostać zweryfikowany</v>
      </c>
      <c r="O697" s="133" t="s">
        <v>3512</v>
      </c>
      <c r="R697"/>
    </row>
    <row r="700" spans="2:18">
      <c r="C700" s="133" t="s">
        <v>2371</v>
      </c>
    </row>
    <row r="701" spans="2:18">
      <c r="C701" s="133" t="s">
        <v>2293</v>
      </c>
      <c r="D701" s="133" t="s">
        <v>2645</v>
      </c>
    </row>
    <row r="702" spans="2:18">
      <c r="C702" s="133" t="s">
        <v>2294</v>
      </c>
      <c r="D702" s="133" t="s">
        <v>2646</v>
      </c>
    </row>
    <row r="703" spans="2:18">
      <c r="C703" s="133" t="s">
        <v>2295</v>
      </c>
      <c r="D703" s="133" t="s">
        <v>2648</v>
      </c>
    </row>
    <row r="704" spans="2:18">
      <c r="C704" s="133" t="s">
        <v>2296</v>
      </c>
      <c r="D704" s="133" t="s">
        <v>2647</v>
      </c>
    </row>
    <row r="705" spans="3:4">
      <c r="C705" s="133" t="s">
        <v>2297</v>
      </c>
      <c r="D705" s="133" t="s">
        <v>2645</v>
      </c>
    </row>
    <row r="706" spans="3:4">
      <c r="C706" s="133" t="s">
        <v>2298</v>
      </c>
      <c r="D706" s="133" t="s">
        <v>2646</v>
      </c>
    </row>
    <row r="707" spans="3:4">
      <c r="C707" s="133" t="s">
        <v>2299</v>
      </c>
      <c r="D707" s="133" t="s">
        <v>2648</v>
      </c>
    </row>
    <row r="708" spans="3:4">
      <c r="C708" s="133" t="s">
        <v>2300</v>
      </c>
      <c r="D708" s="133" t="s">
        <v>2647</v>
      </c>
    </row>
    <row r="709" spans="3:4">
      <c r="C709" s="133" t="s">
        <v>2301</v>
      </c>
      <c r="D709" s="133" t="s">
        <v>2645</v>
      </c>
    </row>
    <row r="710" spans="3:4">
      <c r="C710" s="133" t="s">
        <v>2302</v>
      </c>
      <c r="D710" s="133" t="s">
        <v>2646</v>
      </c>
    </row>
    <row r="711" spans="3:4">
      <c r="C711" s="133" t="s">
        <v>2303</v>
      </c>
      <c r="D711" s="133" t="s">
        <v>2648</v>
      </c>
    </row>
    <row r="712" spans="3:4">
      <c r="C712" s="133" t="s">
        <v>2304</v>
      </c>
      <c r="D712" s="133" t="s">
        <v>2647</v>
      </c>
    </row>
    <row r="713" spans="3:4">
      <c r="C713" s="133" t="s">
        <v>2305</v>
      </c>
      <c r="D713" s="133" t="s">
        <v>2645</v>
      </c>
    </row>
    <row r="714" spans="3:4">
      <c r="C714" s="133" t="s">
        <v>2306</v>
      </c>
      <c r="D714" s="133" t="s">
        <v>2646</v>
      </c>
    </row>
    <row r="715" spans="3:4">
      <c r="C715" s="133" t="s">
        <v>2307</v>
      </c>
      <c r="D715" s="133" t="s">
        <v>2648</v>
      </c>
    </row>
    <row r="716" spans="3:4">
      <c r="C716" s="133" t="s">
        <v>2308</v>
      </c>
      <c r="D716" s="133" t="s">
        <v>2647</v>
      </c>
    </row>
    <row r="717" spans="3:4">
      <c r="C717" s="133" t="s">
        <v>2309</v>
      </c>
      <c r="D717" s="133" t="s">
        <v>2645</v>
      </c>
    </row>
    <row r="718" spans="3:4">
      <c r="C718" s="133" t="s">
        <v>2310</v>
      </c>
      <c r="D718" s="133" t="s">
        <v>2646</v>
      </c>
    </row>
    <row r="719" spans="3:4">
      <c r="C719" s="133" t="s">
        <v>2311</v>
      </c>
      <c r="D719" s="133" t="s">
        <v>2648</v>
      </c>
    </row>
    <row r="720" spans="3:4">
      <c r="C720" s="133" t="s">
        <v>2312</v>
      </c>
      <c r="D720" s="133" t="s">
        <v>2647</v>
      </c>
    </row>
    <row r="721" spans="2:18">
      <c r="C721" s="133" t="s">
        <v>4003</v>
      </c>
      <c r="D721" s="133" t="s">
        <v>2645</v>
      </c>
    </row>
    <row r="722" spans="2:18">
      <c r="C722" s="133" t="s">
        <v>4004</v>
      </c>
      <c r="D722" s="133" t="s">
        <v>2646</v>
      </c>
    </row>
    <row r="723" spans="2:18">
      <c r="C723" s="133" t="s">
        <v>4005</v>
      </c>
      <c r="D723" s="133" t="s">
        <v>2648</v>
      </c>
    </row>
    <row r="724" spans="2:18">
      <c r="C724" s="133" t="s">
        <v>4006</v>
      </c>
      <c r="D724" s="133" t="s">
        <v>2647</v>
      </c>
    </row>
    <row r="725" spans="2:18">
      <c r="B725" s="182" t="str">
        <f t="shared" ref="B725" si="36">IF($D$1=1,M725,IF($D$1=2,N725,IF($D$1=3,O725,IF($D$1=4,P725,IF($D$1=5,Q725,IF($D$1=6,R725,0))))))</f>
        <v>Rabat</v>
      </c>
      <c r="C725" s="133" t="s">
        <v>2054</v>
      </c>
      <c r="D725" s="133" t="s">
        <v>2056</v>
      </c>
      <c r="M725" s="175" t="s">
        <v>3485</v>
      </c>
      <c r="N725" s="133" t="s">
        <v>3486</v>
      </c>
      <c r="O725" s="133" t="s">
        <v>3487</v>
      </c>
      <c r="P725" s="133" t="s">
        <v>3488</v>
      </c>
      <c r="Q725" s="133" t="s">
        <v>3489</v>
      </c>
      <c r="R725" s="133" t="s">
        <v>4013</v>
      </c>
    </row>
    <row r="726" spans="2:18">
      <c r="C726" s="133" t="s">
        <v>2059</v>
      </c>
      <c r="D726" s="133" t="s">
        <v>2061</v>
      </c>
    </row>
    <row r="727" spans="2:18">
      <c r="C727" s="133" t="s">
        <v>2064</v>
      </c>
      <c r="D727" s="133" t="s">
        <v>2066</v>
      </c>
    </row>
    <row r="728" spans="2:18">
      <c r="C728" s="133" t="s">
        <v>2069</v>
      </c>
      <c r="D728" s="133" t="s">
        <v>2071</v>
      </c>
    </row>
    <row r="729" spans="2:18">
      <c r="C729" s="133" t="s">
        <v>2055</v>
      </c>
      <c r="D729" s="133" t="s">
        <v>2056</v>
      </c>
    </row>
    <row r="730" spans="2:18">
      <c r="C730" s="133" t="s">
        <v>2060</v>
      </c>
      <c r="D730" s="133" t="s">
        <v>2061</v>
      </c>
    </row>
    <row r="731" spans="2:18">
      <c r="C731" s="133" t="s">
        <v>2065</v>
      </c>
      <c r="D731" s="133" t="s">
        <v>2066</v>
      </c>
    </row>
    <row r="732" spans="2:18">
      <c r="C732" s="133" t="s">
        <v>2070</v>
      </c>
      <c r="D732" s="133" t="s">
        <v>2071</v>
      </c>
    </row>
    <row r="733" spans="2:18">
      <c r="C733" s="133" t="s">
        <v>2056</v>
      </c>
      <c r="D733" s="133" t="s">
        <v>2056</v>
      </c>
    </row>
    <row r="734" spans="2:18">
      <c r="C734" s="133" t="s">
        <v>2061</v>
      </c>
      <c r="D734" s="133" t="s">
        <v>2061</v>
      </c>
    </row>
    <row r="735" spans="2:18">
      <c r="C735" s="133" t="s">
        <v>2066</v>
      </c>
      <c r="D735" s="133" t="s">
        <v>2066</v>
      </c>
    </row>
    <row r="736" spans="2:18">
      <c r="C736" s="133" t="s">
        <v>2071</v>
      </c>
      <c r="D736" s="133" t="s">
        <v>2071</v>
      </c>
    </row>
    <row r="737" spans="3:4">
      <c r="C737" s="133" t="s">
        <v>2057</v>
      </c>
      <c r="D737" s="133" t="s">
        <v>2056</v>
      </c>
    </row>
    <row r="738" spans="3:4">
      <c r="C738" s="133" t="s">
        <v>2062</v>
      </c>
      <c r="D738" s="133" t="s">
        <v>2061</v>
      </c>
    </row>
    <row r="739" spans="3:4">
      <c r="C739" s="133" t="s">
        <v>2067</v>
      </c>
      <c r="D739" s="133" t="s">
        <v>2066</v>
      </c>
    </row>
    <row r="740" spans="3:4">
      <c r="C740" s="133" t="s">
        <v>2072</v>
      </c>
      <c r="D740" s="133" t="s">
        <v>2071</v>
      </c>
    </row>
    <row r="741" spans="3:4">
      <c r="C741" s="133" t="s">
        <v>2058</v>
      </c>
      <c r="D741" s="133" t="s">
        <v>2056</v>
      </c>
    </row>
    <row r="742" spans="3:4">
      <c r="C742" s="133" t="s">
        <v>2063</v>
      </c>
      <c r="D742" s="133" t="s">
        <v>2061</v>
      </c>
    </row>
    <row r="743" spans="3:4">
      <c r="C743" s="133" t="s">
        <v>2068</v>
      </c>
      <c r="D743" s="133" t="s">
        <v>2066</v>
      </c>
    </row>
    <row r="744" spans="3:4">
      <c r="C744" s="133" t="s">
        <v>2073</v>
      </c>
      <c r="D744" s="133" t="s">
        <v>2071</v>
      </c>
    </row>
    <row r="745" spans="3:4">
      <c r="C745" s="318" t="s">
        <v>4007</v>
      </c>
      <c r="D745" s="133" t="s">
        <v>2056</v>
      </c>
    </row>
    <row r="746" spans="3:4">
      <c r="C746" s="318" t="s">
        <v>4008</v>
      </c>
      <c r="D746" s="133" t="s">
        <v>2061</v>
      </c>
    </row>
    <row r="747" spans="3:4">
      <c r="C747" s="318" t="s">
        <v>4009</v>
      </c>
      <c r="D747" s="133" t="s">
        <v>2066</v>
      </c>
    </row>
    <row r="748" spans="3:4">
      <c r="C748" s="318" t="s">
        <v>4010</v>
      </c>
      <c r="D748" s="133" t="s">
        <v>2071</v>
      </c>
    </row>
  </sheetData>
  <mergeCells count="16">
    <mergeCell ref="K4:L4"/>
    <mergeCell ref="A6:A63"/>
    <mergeCell ref="A101:A165"/>
    <mergeCell ref="A79:A84"/>
    <mergeCell ref="I170:J170"/>
    <mergeCell ref="K170:L170"/>
    <mergeCell ref="G170:H170"/>
    <mergeCell ref="K100:L100"/>
    <mergeCell ref="C100:D100"/>
    <mergeCell ref="E100:F100"/>
    <mergeCell ref="G100:H100"/>
    <mergeCell ref="I100:J100"/>
    <mergeCell ref="C4:D4"/>
    <mergeCell ref="E4:F4"/>
    <mergeCell ref="G4:H4"/>
    <mergeCell ref="I4:J4"/>
  </mergeCells>
  <phoneticPr fontId="15" type="noConversion"/>
  <conditionalFormatting sqref="C701:D720">
    <cfRule type="expression" dxfId="476" priority="3" stopIfTrue="1">
      <formula>AND(COUNTIF($M$584:$M$589, C701)+COUNTIF($M$595:$M$626, C701)+COUNTIF($M$629:$M$629, C701)+COUNTIF($M$644:$M$646, C701)&gt;1,NOT(ISBLANK(C701)))</formula>
    </cfRule>
  </conditionalFormatting>
  <conditionalFormatting sqref="D721:D724">
    <cfRule type="expression" dxfId="475" priority="2" stopIfTrue="1">
      <formula>AND(COUNTIF($M$584:$M$589, D721)+COUNTIF($M$595:$M$626, D721)+COUNTIF($M$629:$M$629, D721)+COUNTIF($M$644:$M$646, D721)&gt;1,NOT(ISBLANK(D721)))</formula>
    </cfRule>
  </conditionalFormatting>
  <conditionalFormatting sqref="M584:M589">
    <cfRule type="expression" dxfId="474" priority="9" stopIfTrue="1">
      <formula>AND(COUNTIF($M$584:$M$589, M584)+COUNTIF($M$595:$M$626, M584)+COUNTIF($M$629:$M$629, M584)+COUNTIF($M$644:$M$646, M584)&gt;1,NOT(ISBLANK(M584)))</formula>
    </cfRule>
  </conditionalFormatting>
  <conditionalFormatting sqref="M595:M626 M629 M644 C725:C728">
    <cfRule type="expression" dxfId="473" priority="1" stopIfTrue="1">
      <formula>AND(COUNTIF($M$584:$M$589, C595)+COUNTIF($M$595:$M$626, C595)+COUNTIF($M$629:$M$629, C595)+COUNTIF($M$644:$M$646, C595)&gt;1,NOT(ISBLANK(C595)))</formula>
    </cfRule>
  </conditionalFormatting>
  <conditionalFormatting sqref="N618:Q621">
    <cfRule type="expression" dxfId="472" priority="5" stopIfTrue="1">
      <formula>AND(COUNTIF($M$584:$M$589, N618)+COUNTIF($M$595:$M$626, N618)+COUNTIF($M$629:$M$629, N618)+COUNTIF($M$644:$M$646, N618)&gt;1,NOT(ISBLANK(N618)))</formula>
    </cfRule>
  </conditionalFormatting>
  <hyperlinks>
    <hyperlink ref="N317" r:id="rId1" xr:uid="{92C178D6-04AB-467D-B460-13F1EA7BE0F7}"/>
    <hyperlink ref="M317" r:id="rId2" xr:uid="{520B93AC-0648-47B4-8EF3-DC5C381451BF}"/>
    <hyperlink ref="R317" r:id="rId3" xr:uid="{F227CD53-25D6-4095-869B-7220AB110728}"/>
  </hyperlinks>
  <pageMargins left="0.7" right="0.7" top="0.78740157499999996" bottom="0.78740157499999996" header="0.3" footer="0.3"/>
  <pageSetup paperSize="9" orientation="portrait" verticalDpi="300"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D3B8-D35C-4A11-91AC-15B1F52F4AD6}">
  <sheetPr codeName="List1">
    <pageSetUpPr autoPageBreaks="0"/>
  </sheetPr>
  <dimension ref="A1:W34"/>
  <sheetViews>
    <sheetView showGridLines="0" showRowColHeaders="0" workbookViewId="0"/>
  </sheetViews>
  <sheetFormatPr defaultColWidth="0" defaultRowHeight="15" customHeight="1" zeroHeight="1"/>
  <cols>
    <col min="1" max="3" width="8.5703125" style="1" customWidth="1"/>
    <col min="4" max="4" width="6.5703125" style="1" customWidth="1"/>
    <col min="5" max="8" width="8.5703125" style="1" customWidth="1"/>
    <col min="9" max="9" width="6.42578125" style="1" customWidth="1"/>
    <col min="10" max="10" width="2.140625" style="1" customWidth="1"/>
    <col min="11" max="11" width="5.42578125" style="1" customWidth="1"/>
    <col min="12" max="14" width="8.5703125" style="1" customWidth="1"/>
    <col min="15" max="15" width="19.28515625" style="1" customWidth="1"/>
    <col min="16" max="16" width="8.5703125" style="1" customWidth="1"/>
    <col min="17" max="17" width="6.5703125" style="1" customWidth="1"/>
    <col min="18" max="19" width="8.5703125" style="1" customWidth="1"/>
    <col min="20" max="20" width="10.5703125" style="1" customWidth="1"/>
    <col min="21" max="22" width="8.5703125" style="1" hidden="1" customWidth="1"/>
    <col min="23" max="23" width="15.5703125" style="1" hidden="1" customWidth="1"/>
    <col min="24" max="16384" width="8.5703125" style="1" hidden="1"/>
  </cols>
  <sheetData>
    <row r="1" spans="1:23">
      <c r="A1" s="38"/>
      <c r="B1" s="38"/>
      <c r="C1" s="38"/>
      <c r="D1" s="38"/>
      <c r="E1" s="38"/>
      <c r="F1" s="38"/>
      <c r="G1" s="38"/>
      <c r="H1" s="38"/>
      <c r="I1" s="38"/>
      <c r="J1" s="38"/>
      <c r="K1" s="38"/>
      <c r="L1" s="38"/>
      <c r="M1" s="38"/>
      <c r="N1" s="38"/>
      <c r="O1" s="38"/>
    </row>
    <row r="2" spans="1:23" ht="15" customHeight="1">
      <c r="A2" s="39"/>
      <c r="B2" s="39"/>
      <c r="C2" s="39"/>
      <c r="D2" s="39"/>
      <c r="E2" s="39"/>
      <c r="F2" s="39"/>
      <c r="G2" s="39"/>
      <c r="H2" s="39"/>
      <c r="I2" s="39"/>
      <c r="J2" s="39"/>
      <c r="K2" s="39"/>
      <c r="L2" s="39"/>
      <c r="M2" s="39"/>
      <c r="N2" s="39"/>
      <c r="O2" s="39"/>
      <c r="P2" s="15"/>
      <c r="Q2" s="491" t="str">
        <f>'Translate&amp;Prices&amp;Logo'!$B$542</f>
        <v>Wprowadzenie</v>
      </c>
      <c r="R2" s="492"/>
      <c r="S2" s="492"/>
      <c r="T2" s="492"/>
      <c r="W2" s="6" t="b">
        <v>0</v>
      </c>
    </row>
    <row r="3" spans="1:23" ht="15" customHeight="1">
      <c r="A3" s="39"/>
      <c r="B3" s="39"/>
      <c r="C3" s="39"/>
      <c r="D3" s="39"/>
      <c r="E3" s="39"/>
      <c r="F3" s="39"/>
      <c r="G3" s="39"/>
      <c r="H3" s="39"/>
      <c r="I3" s="39"/>
      <c r="J3" s="39"/>
      <c r="K3" s="39"/>
      <c r="L3" s="39"/>
      <c r="M3" s="39"/>
      <c r="N3" s="39"/>
      <c r="O3" s="39"/>
      <c r="P3" s="15"/>
      <c r="Q3" s="491"/>
      <c r="R3" s="492"/>
      <c r="S3" s="492"/>
      <c r="T3" s="492"/>
    </row>
    <row r="4" spans="1:23"/>
    <row r="5" spans="1:23" ht="21">
      <c r="B5" s="238" t="str">
        <f>'Translate&amp;Prices&amp;Logo'!B682</f>
        <v>Warunki i zalecenia dotyczące prawidłowego zamawiania ramek aluminiowych.</v>
      </c>
    </row>
    <row r="6" spans="1:23" ht="11.1" customHeight="1">
      <c r="B6" s="230"/>
    </row>
    <row r="7" spans="1:23" ht="18" customHeight="1">
      <c r="B7" s="237" t="str">
        <f>'Translate&amp;Prices&amp;Logo'!B683</f>
        <v>Ogólne zalecenia:</v>
      </c>
    </row>
    <row r="8" spans="1:23" ht="15" customHeight="1">
      <c r="B8" s="1" t="str">
        <f>'Translate&amp;Prices&amp;Logo'!$B$304</f>
        <v>Zawsze korzystaj z aktualnej wersji formularza, który jest umieszczony na naszej stronie web.</v>
      </c>
    </row>
    <row r="9" spans="1:23" ht="15" customHeight="1">
      <c r="B9" s="12" t="str">
        <f>'Translate&amp;Prices&amp;Logo'!B684</f>
        <v>Podczas wypełniania formularza wypełniaj zawsze od góry do dołu.</v>
      </c>
    </row>
    <row r="10" spans="1:23">
      <c r="B10" s="12" t="str">
        <f>'Translate&amp;Prices&amp;Logo'!B685</f>
        <v>Jeśli dokonasz zmiany wstecz, konieczne będzie ponowne wpisanie danych poniżej zmiany.</v>
      </c>
      <c r="C10" s="229"/>
      <c r="D10" s="229"/>
      <c r="E10" s="229"/>
      <c r="F10" s="229"/>
      <c r="G10" s="229"/>
      <c r="H10" s="229"/>
      <c r="I10" s="229"/>
      <c r="J10" s="229"/>
      <c r="K10" s="229"/>
      <c r="L10" s="229"/>
      <c r="M10" s="229"/>
      <c r="N10" s="229"/>
      <c r="O10" s="229"/>
      <c r="P10" s="229"/>
    </row>
    <row r="11" spans="1:23">
      <c r="B11" s="12" t="str">
        <f>'Translate&amp;Prices&amp;Logo'!B686</f>
        <v>Przed wysłaniem zamówienia sprawdź formularz, czy są wpisane tylko te ramki, które chcesz zamówić.</v>
      </c>
    </row>
    <row r="12" spans="1:23" ht="15" customHeight="1">
      <c r="B12" s="229" t="str">
        <f>'Translate&amp;Prices&amp;Logo'!$B$316&amp;" "&amp;'Translate&amp;Prices&amp;Logo'!$B$317</f>
        <v>Wypełniony formularz wyślij pod adres email: zamowienia@demos-trade.com</v>
      </c>
      <c r="C12" s="229"/>
      <c r="D12" s="229"/>
      <c r="E12" s="229"/>
      <c r="F12" s="229"/>
      <c r="G12" s="229"/>
      <c r="H12" s="229"/>
      <c r="I12" s="229"/>
      <c r="J12" s="229"/>
      <c r="K12" s="229"/>
      <c r="L12" s="229"/>
      <c r="M12" s="229"/>
    </row>
    <row r="13" spans="1:23" ht="30" customHeight="1">
      <c r="B13" s="576" t="str">
        <f>'Translate&amp;Prices&amp;Logo'!B687</f>
        <v>Standardowy czas realizacji zamówienia wynosi maksymalnie trzy tygodnie. Aby uzyskać dokładniejsze informacje na temat terminu dostawy, prosimy o kontakt z pracownikami Biura Obsługi Klienta tel. 32 790 85 82.</v>
      </c>
      <c r="C13" s="576"/>
      <c r="D13" s="576"/>
      <c r="E13" s="576"/>
      <c r="F13" s="576"/>
      <c r="G13" s="576"/>
      <c r="H13" s="576"/>
      <c r="I13" s="576"/>
      <c r="J13" s="576"/>
      <c r="K13" s="576"/>
      <c r="L13" s="576"/>
      <c r="M13" s="576"/>
      <c r="N13" s="576"/>
      <c r="O13" s="576"/>
      <c r="P13" s="576"/>
      <c r="Q13" s="576"/>
      <c r="R13" s="576"/>
      <c r="S13" s="576"/>
    </row>
    <row r="14" spans="1:23" ht="45.75" customHeight="1">
      <c r="B14" s="573" t="str">
        <f>'Translate&amp;Prices&amp;Logo'!B673</f>
        <v>Przy odbiorze przesyłki kupujący powinien sprawdzić towar i w przypadku stwierdzenia widocznych uszkodzeń transportowych niezwłocznie zgłosić je kurierowi, spisując protokół. W przeciwnym razie reklamacja może zostać odrzucona.</v>
      </c>
      <c r="C14" s="573"/>
      <c r="D14" s="573"/>
      <c r="E14" s="573"/>
      <c r="F14" s="573"/>
      <c r="G14" s="573"/>
      <c r="H14" s="573"/>
      <c r="I14" s="573"/>
      <c r="J14" s="573"/>
      <c r="K14" s="573"/>
      <c r="L14" s="573"/>
      <c r="M14" s="573"/>
      <c r="N14" s="573"/>
      <c r="O14" s="573"/>
      <c r="P14" s="573"/>
      <c r="Q14" s="573"/>
      <c r="R14" s="573"/>
      <c r="S14" s="573"/>
    </row>
    <row r="15" spans="1:23" ht="32.25" customHeight="1">
      <c r="B15" s="1" t="str">
        <f>'Translate&amp;Prices&amp;Logo'!$B$173</f>
        <v>Podane ceny nie zawierają podatku VAT ani nie zawierają ceny okuć!</v>
      </c>
    </row>
    <row r="16" spans="1:23" ht="46.5" customHeight="1">
      <c r="B16" s="579" t="str">
        <f>IF(Zakaznik!K23="Dostawa na adres","W przypadku wyboru DOSTAWA NA ADRES do zamówienia zostanie automatycznie doliczona opłata transportowa. Cena zależna od rozmiaru ramki. Aby zobaczyć ostateczną cenę, kliknij na Podsumowanie. ","")</f>
        <v/>
      </c>
      <c r="C16" s="579"/>
      <c r="D16" s="579"/>
      <c r="E16" s="579"/>
      <c r="F16" s="579"/>
      <c r="G16" s="579"/>
      <c r="H16" s="579"/>
      <c r="I16" s="579"/>
      <c r="J16" s="579"/>
      <c r="K16" s="579"/>
      <c r="L16" s="316"/>
      <c r="M16" s="580" t="str">
        <f>IF(Zakaznik!K23="Dostawa na adres","W przypadku wyboru DOSTAWA NA ADRES w jednym zamówieniu nie można łączyć ramki ze szkłem i bez szkła. ","")</f>
        <v/>
      </c>
      <c r="N16" s="580"/>
      <c r="O16" s="580"/>
      <c r="P16" s="580"/>
      <c r="Q16" s="580"/>
      <c r="R16" s="580"/>
      <c r="S16" s="316"/>
      <c r="T16" s="316"/>
    </row>
    <row r="17" spans="2:20" ht="21.75" customHeight="1">
      <c r="B17" s="577" t="str">
        <f>'Translate&amp;Prices&amp;Logo'!B574</f>
        <v>Ważne informacje:</v>
      </c>
      <c r="C17" s="578"/>
      <c r="D17" s="578"/>
    </row>
    <row r="18" spans="2:20" ht="15" customHeight="1">
      <c r="B18" s="1" t="str">
        <f>'Translate&amp;Prices&amp;Logo'!$B$303</f>
        <v>Do zamocowania okuć do ramki aluminiowej należy stosować specjalnie do tego przeznaczone wkręty (np. kod 13681)</v>
      </c>
    </row>
    <row r="19" spans="2:20" ht="15" customHeight="1">
      <c r="B19" s="1" t="str">
        <f>'Translate&amp;Prices&amp;Logo'!$B$333</f>
        <v>Jeśli uchwyt będzie zamocowany w wierceniach w szkle, należy zastosować podkładkę dystansową (np. kod 144516, 191970, C0315)</v>
      </c>
    </row>
    <row r="20" spans="2:20"/>
    <row r="21" spans="2:20">
      <c r="B21" s="1" t="str">
        <f>'Translate&amp;Prices&amp;Logo'!$B$313</f>
        <v>Maksymalny zalecany rozmiar ramki to 2500 x 1250 mm (w wypadku ramek ze szkłem wklejanym, np. Corleone 1500 x 600 mm)</v>
      </c>
    </row>
    <row r="22" spans="2:20" ht="30" customHeight="1">
      <c r="B22" s="573" t="str">
        <f>'Translate&amp;Prices&amp;Logo'!B689</f>
        <v>Dla większych wymiarów ramki niż 2500 mm zalecamy użycie szprosów, w przeciwnym razie istnieje ryzyko wygięcia profilu lub wysunięcia szkła z profilu.</v>
      </c>
      <c r="C22" s="573"/>
      <c r="D22" s="573"/>
      <c r="E22" s="573"/>
      <c r="F22" s="573"/>
      <c r="G22" s="573"/>
      <c r="H22" s="573"/>
      <c r="I22" s="573"/>
      <c r="J22" s="573"/>
      <c r="K22" s="573"/>
      <c r="L22" s="573"/>
      <c r="M22" s="573"/>
      <c r="N22" s="573"/>
      <c r="O22" s="573"/>
      <c r="P22" s="573"/>
      <c r="Q22" s="573"/>
      <c r="R22" s="573"/>
      <c r="S22" s="573"/>
      <c r="T22" s="234"/>
    </row>
    <row r="23" spans="2:20" ht="30" customHeight="1">
      <c r="B23" s="573" t="str">
        <f>'Translate&amp;Prices&amp;Logo'!$B$329</f>
        <v>Do ramek ponadgabarytowych (ponad rozmiar 1200 x 800 mm) może być doliczana opłata za specjalne zapakowanie i transport (dodatkowe informacje w Biurze Obsługi Klienta tel. 32 790 85 82)</v>
      </c>
      <c r="C23" s="573"/>
      <c r="D23" s="573"/>
      <c r="E23" s="573"/>
      <c r="F23" s="573"/>
      <c r="G23" s="573"/>
      <c r="H23" s="573"/>
      <c r="I23" s="573"/>
      <c r="J23" s="573"/>
      <c r="K23" s="573"/>
      <c r="L23" s="573"/>
      <c r="M23" s="573"/>
      <c r="N23" s="573"/>
      <c r="O23" s="573"/>
      <c r="P23" s="573"/>
      <c r="Q23" s="573"/>
      <c r="R23" s="573"/>
      <c r="S23" s="573"/>
    </row>
    <row r="24" spans="2:20">
      <c r="B24" s="1" t="str">
        <f>'Translate&amp;Prices&amp;Logo'!$B$302</f>
        <v>Reklamacja nie będzie uwzględniana w przypadku, gdy ramka została już zamontowana..</v>
      </c>
    </row>
    <row r="25" spans="2:20">
      <c r="B25" s="1" t="str">
        <f>'Translate&amp;Prices&amp;Logo'!$B$691</f>
        <v>Siatka w ramce jest standardowo ustawiona poziomo. Jeśli otwory siatki mają być ustawione pionowo, prosimy o wskazanie tego w uwagach.</v>
      </c>
    </row>
    <row r="26" spans="2:20">
      <c r="B26" s="235" t="str">
        <f>'Translate&amp;Prices&amp;Logo'!B696</f>
        <v>Kolor profilu i siatki może się różnić z powodu tolerancji w procesie produkcji.</v>
      </c>
    </row>
    <row r="27" spans="2:20" ht="30" customHeight="1" thickBot="1">
      <c r="B27" s="237" t="str">
        <f>'Translate&amp;Prices&amp;Logo'!$B$692</f>
        <v>Potwierdzam, że rozumiem i akceptuję powyższe warunki i zalecenia.</v>
      </c>
    </row>
    <row r="28" spans="2:20">
      <c r="B28" s="236"/>
      <c r="M28" s="574"/>
    </row>
    <row r="29" spans="2:20" ht="15.75" thickBot="1">
      <c r="B29" s="236"/>
      <c r="M29" s="575"/>
    </row>
    <row r="30" spans="2:20" ht="6.75" customHeight="1"/>
    <row r="31" spans="2:20" ht="15" customHeight="1">
      <c r="B31" s="491" t="str">
        <f>"&lt;"&amp;" "&amp;'Translate&amp;Prices&amp;Logo'!$B$576</f>
        <v>&lt; Powrót</v>
      </c>
      <c r="C31" s="492"/>
      <c r="R31" s="491" t="str">
        <f>IF(W2=TRUE,(CONCATENATE('Translate&amp;Prices&amp;Logo'!$B$568," &gt;"))," ")</f>
        <v xml:space="preserve"> </v>
      </c>
      <c r="S31" s="492"/>
    </row>
    <row r="32" spans="2:20" ht="15" customHeight="1">
      <c r="B32" s="491"/>
      <c r="C32" s="492"/>
      <c r="R32" s="491"/>
      <c r="S32" s="492"/>
    </row>
    <row r="33"/>
    <row r="34"/>
  </sheetData>
  <sheetProtection algorithmName="SHA-512" hashValue="m0P1poY5NksR5gtATx9TTjLL3ujXhYNsTMVal9ICkDss0q8rPAVczjuRg6SQCNyKQdcAJnepwu2H+GykH7CdNA==" saltValue="145ystwAeuIToKCBZdjBUw==" spinCount="100000" sheet="1" objects="1" scenarios="1"/>
  <mergeCells count="11">
    <mergeCell ref="B31:C32"/>
    <mergeCell ref="R31:S32"/>
    <mergeCell ref="Q2:T3"/>
    <mergeCell ref="B22:S22"/>
    <mergeCell ref="B23:S23"/>
    <mergeCell ref="M28:M29"/>
    <mergeCell ref="B13:S13"/>
    <mergeCell ref="B17:D17"/>
    <mergeCell ref="B16:K16"/>
    <mergeCell ref="M16:R16"/>
    <mergeCell ref="B14:S14"/>
  </mergeCells>
  <conditionalFormatting sqref="R31:S32">
    <cfRule type="expression" dxfId="470" priority="2">
      <formula>R31=" "</formula>
    </cfRule>
  </conditionalFormatting>
  <hyperlinks>
    <hyperlink ref="Q2:T3" location="Hlavní!A1" display="Hlavní!A1" xr:uid="{E6D3E0FA-09CE-4815-83A4-FF4803A8F05B}"/>
    <hyperlink ref="R31:S32" location="Ram_1!A1" display="Ram_1!A1" xr:uid="{01A2E514-1707-4E64-A3EB-20A1D376B833}"/>
    <hyperlink ref="B31:C32" location="Zakaznik!A1" display="Zakaznik!A1" xr:uid="{9A0D7A28-B1BA-4B51-890B-1A8325EF0424}"/>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7620" r:id="rId4" name="Check Box 4">
              <controlPr defaultSize="0" autoFill="0" autoLine="0" autoPict="0">
                <anchor moveWithCells="1">
                  <from>
                    <xdr:col>12</xdr:col>
                    <xdr:colOff>180975</xdr:colOff>
                    <xdr:row>26</xdr:row>
                    <xdr:rowOff>628650</xdr:rowOff>
                  </from>
                  <to>
                    <xdr:col>12</xdr:col>
                    <xdr:colOff>428625</xdr:colOff>
                    <xdr:row>28</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0EFF9D7-8C66-4E68-B34D-4F9663DC7270}">
            <xm:f>Zakaznik!$K$23="Dostawa na adres"</xm:f>
            <x14:dxf>
              <fill>
                <patternFill>
                  <bgColor rgb="FFFFFF00"/>
                </patternFill>
              </fill>
            </x14:dxf>
          </x14:cfRule>
          <xm:sqref>B16 M16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89E-393E-4BBE-BE73-C12F25F7DDD9}">
  <sheetPr codeName="List25"/>
  <dimension ref="A1:EZ209"/>
  <sheetViews>
    <sheetView topLeftCell="A92" workbookViewId="0">
      <selection activeCell="A139" sqref="A96:A139"/>
    </sheetView>
  </sheetViews>
  <sheetFormatPr defaultColWidth="8.5703125" defaultRowHeight="15"/>
  <cols>
    <col min="1" max="1" width="30" customWidth="1"/>
    <col min="2" max="2" width="25.42578125" customWidth="1"/>
    <col min="3" max="3" width="26.5703125" bestFit="1" customWidth="1"/>
    <col min="4" max="11" width="24.5703125" customWidth="1"/>
    <col min="12" max="12" width="20.42578125" customWidth="1"/>
    <col min="13" max="13" width="23" customWidth="1"/>
    <col min="14" max="14" width="19.140625" bestFit="1" customWidth="1"/>
    <col min="15" max="15" width="23.42578125" bestFit="1" customWidth="1"/>
    <col min="16" max="16" width="20.140625" bestFit="1" customWidth="1"/>
    <col min="17" max="17" width="19.140625" bestFit="1" customWidth="1"/>
    <col min="18" max="18" width="14.5703125" customWidth="1"/>
    <col min="20" max="20" width="18.5703125" bestFit="1" customWidth="1"/>
    <col min="21" max="21" width="9.5703125" customWidth="1"/>
    <col min="22" max="22" width="19.5703125" customWidth="1"/>
    <col min="23" max="23" width="19.42578125" bestFit="1" customWidth="1"/>
    <col min="25" max="31" width="13.42578125" customWidth="1"/>
    <col min="69" max="69" width="13.42578125" customWidth="1"/>
    <col min="80" max="80" width="21.5703125" customWidth="1"/>
    <col min="85" max="85" width="17.42578125" customWidth="1"/>
    <col min="86" max="86" width="24.7109375" customWidth="1"/>
    <col min="87" max="87" width="29.140625" customWidth="1"/>
    <col min="88" max="88" width="30.5703125" customWidth="1"/>
    <col min="89" max="89" width="26.85546875" customWidth="1"/>
    <col min="90" max="90" width="38.7109375" customWidth="1"/>
    <col min="91" max="91" width="29.85546875" bestFit="1" customWidth="1"/>
    <col min="92" max="92" width="25.28515625" customWidth="1"/>
    <col min="93" max="93" width="26.5703125" customWidth="1"/>
    <col min="94" max="94" width="17.7109375" customWidth="1"/>
    <col min="95" max="95" width="19.42578125" customWidth="1"/>
    <col min="96" max="98" width="25.140625" bestFit="1" customWidth="1"/>
    <col min="99" max="100" width="29.85546875" bestFit="1" customWidth="1"/>
    <col min="101" max="102" width="20.28515625" bestFit="1" customWidth="1"/>
    <col min="103" max="104" width="29.85546875" bestFit="1" customWidth="1"/>
    <col min="105" max="105" width="20.28515625" bestFit="1" customWidth="1"/>
    <col min="106" max="106" width="37.7109375" customWidth="1"/>
    <col min="109" max="109" width="26.5703125" customWidth="1"/>
    <col min="111" max="111" width="26" customWidth="1"/>
    <col min="112" max="112" width="28.7109375" customWidth="1"/>
    <col min="113" max="113" width="33.85546875" customWidth="1"/>
    <col min="114" max="114" width="23.85546875" bestFit="1" customWidth="1"/>
    <col min="115" max="115" width="21.140625" customWidth="1"/>
    <col min="116" max="116" width="19.42578125" customWidth="1"/>
    <col min="117" max="117" width="20.85546875" customWidth="1"/>
    <col min="118" max="118" width="26.42578125" bestFit="1" customWidth="1"/>
    <col min="129" max="129" width="32.7109375" customWidth="1"/>
    <col min="132" max="132" width="34.28515625" bestFit="1" customWidth="1"/>
    <col min="133" max="133" width="22" bestFit="1" customWidth="1"/>
    <col min="134" max="134" width="23.28515625" bestFit="1" customWidth="1"/>
    <col min="135" max="135" width="20.85546875" bestFit="1" customWidth="1"/>
    <col min="136" max="136" width="21.42578125" bestFit="1" customWidth="1"/>
    <col min="137" max="137" width="20" bestFit="1" customWidth="1"/>
    <col min="138" max="138" width="21.42578125" bestFit="1" customWidth="1"/>
    <col min="139" max="139" width="21" bestFit="1" customWidth="1"/>
    <col min="140" max="140" width="22.42578125" bestFit="1" customWidth="1"/>
    <col min="141" max="141" width="22" bestFit="1" customWidth="1"/>
    <col min="142" max="142" width="20.5703125" bestFit="1" customWidth="1"/>
    <col min="143" max="143" width="22.42578125" bestFit="1" customWidth="1"/>
    <col min="144" max="144" width="23.7109375" bestFit="1" customWidth="1"/>
  </cols>
  <sheetData>
    <row r="1" spans="1:156">
      <c r="A1" s="22" t="s">
        <v>934</v>
      </c>
      <c r="B1" s="22"/>
      <c r="C1" s="22"/>
      <c r="D1" s="22"/>
      <c r="E1" s="22"/>
      <c r="F1" s="22"/>
      <c r="G1" s="22"/>
      <c r="H1" s="22"/>
      <c r="I1" s="22"/>
      <c r="J1" s="22"/>
      <c r="K1" s="22"/>
      <c r="L1" s="22"/>
      <c r="M1" s="22"/>
      <c r="N1" s="22"/>
      <c r="O1" s="22"/>
      <c r="P1" s="22"/>
      <c r="Q1" s="22"/>
      <c r="R1" s="22"/>
      <c r="S1" s="23"/>
      <c r="T1" s="22" t="s">
        <v>399</v>
      </c>
      <c r="U1" s="22"/>
      <c r="V1" s="22"/>
      <c r="W1" s="22"/>
      <c r="X1" s="23"/>
      <c r="Y1" s="22" t="s">
        <v>8</v>
      </c>
      <c r="Z1" s="22"/>
      <c r="AA1" s="22"/>
      <c r="AB1" s="22"/>
      <c r="AC1" s="22"/>
      <c r="AD1" s="22"/>
      <c r="AE1" s="22"/>
      <c r="AF1" s="23"/>
      <c r="BQ1" t="s">
        <v>814</v>
      </c>
      <c r="BW1" t="s">
        <v>110</v>
      </c>
    </row>
    <row r="2" spans="1:156">
      <c r="A2" s="25" t="s">
        <v>946</v>
      </c>
      <c r="B2" s="25" t="s">
        <v>564</v>
      </c>
      <c r="C2" s="25"/>
      <c r="D2">
        <v>1</v>
      </c>
      <c r="E2">
        <v>2</v>
      </c>
      <c r="F2">
        <v>3</v>
      </c>
      <c r="G2">
        <v>4</v>
      </c>
      <c r="H2">
        <v>5</v>
      </c>
      <c r="I2">
        <v>6</v>
      </c>
      <c r="J2">
        <v>7</v>
      </c>
      <c r="K2">
        <v>8</v>
      </c>
      <c r="L2">
        <v>9</v>
      </c>
      <c r="M2">
        <v>10</v>
      </c>
      <c r="N2">
        <v>11</v>
      </c>
      <c r="O2">
        <v>12</v>
      </c>
      <c r="P2">
        <v>13</v>
      </c>
      <c r="Q2">
        <v>14</v>
      </c>
      <c r="R2">
        <v>15</v>
      </c>
      <c r="S2" s="23"/>
      <c r="T2" s="24" t="s">
        <v>936</v>
      </c>
      <c r="U2" s="24" t="s">
        <v>814</v>
      </c>
      <c r="V2" s="24" t="s">
        <v>947</v>
      </c>
      <c r="W2" s="24" t="s">
        <v>948</v>
      </c>
      <c r="X2" s="23"/>
      <c r="Y2" s="26">
        <v>1</v>
      </c>
      <c r="Z2" s="26">
        <v>2</v>
      </c>
      <c r="AA2" s="26">
        <v>3</v>
      </c>
      <c r="AB2" s="26">
        <v>4</v>
      </c>
      <c r="AC2" s="26">
        <v>5</v>
      </c>
      <c r="AD2" s="26">
        <v>6</v>
      </c>
      <c r="AE2" s="26">
        <v>7</v>
      </c>
      <c r="AF2" s="23"/>
      <c r="AO2" t="str">
        <f>'Translate&amp;Prices&amp;Logo'!B229</f>
        <v>W górę</v>
      </c>
      <c r="AP2" t="str">
        <f>'Translate&amp;Prices&amp;Logo'!B231</f>
        <v>W prawo</v>
      </c>
      <c r="BQ2" t="str">
        <f>'Translate&amp;Prices&amp;Logo'!$B$553</f>
        <v>Zawiasy</v>
      </c>
      <c r="BR2" t="str">
        <f>'Translate&amp;Prices&amp;Logo'!$B$554</f>
        <v>Podnośniki</v>
      </c>
      <c r="BW2" t="str">
        <f>'Translate&amp;Prices&amp;Logo'!$B$232</f>
        <v>W lewo</v>
      </c>
      <c r="CG2" t="s">
        <v>456</v>
      </c>
      <c r="CH2" t="s">
        <v>1105</v>
      </c>
      <c r="CI2" t="s">
        <v>456</v>
      </c>
      <c r="CJ2" t="s">
        <v>1105</v>
      </c>
      <c r="CK2" t="s">
        <v>456</v>
      </c>
      <c r="CL2" t="s">
        <v>1105</v>
      </c>
      <c r="CM2" t="s">
        <v>456</v>
      </c>
      <c r="CN2" t="s">
        <v>1105</v>
      </c>
      <c r="CO2" t="s">
        <v>456</v>
      </c>
      <c r="CP2" t="s">
        <v>1105</v>
      </c>
      <c r="CQ2" t="s">
        <v>456</v>
      </c>
      <c r="CR2" t="s">
        <v>1105</v>
      </c>
      <c r="CS2" t="s">
        <v>456</v>
      </c>
      <c r="CT2" t="s">
        <v>1105</v>
      </c>
      <c r="CU2" t="s">
        <v>456</v>
      </c>
      <c r="CV2" t="s">
        <v>1105</v>
      </c>
      <c r="CW2" t="s">
        <v>456</v>
      </c>
      <c r="CX2" t="s">
        <v>1105</v>
      </c>
      <c r="CY2" t="s">
        <v>456</v>
      </c>
      <c r="CZ2" t="s">
        <v>1105</v>
      </c>
      <c r="DA2" t="s">
        <v>456</v>
      </c>
      <c r="DB2" t="s">
        <v>1105</v>
      </c>
      <c r="DC2" t="s">
        <v>456</v>
      </c>
      <c r="DD2" t="s">
        <v>1105</v>
      </c>
      <c r="DE2" t="s">
        <v>456</v>
      </c>
      <c r="DF2" t="s">
        <v>1105</v>
      </c>
      <c r="DG2" t="s">
        <v>456</v>
      </c>
      <c r="DH2" t="s">
        <v>1105</v>
      </c>
      <c r="DI2" t="s">
        <v>456</v>
      </c>
      <c r="DJ2" t="s">
        <v>1105</v>
      </c>
      <c r="DK2" t="s">
        <v>456</v>
      </c>
      <c r="DL2" t="s">
        <v>1105</v>
      </c>
    </row>
    <row r="3" spans="1:156">
      <c r="A3" s="24" t="s">
        <v>105</v>
      </c>
      <c r="B3" s="24" t="s">
        <v>566</v>
      </c>
      <c r="C3" s="24" t="str">
        <f>CONCATENATE("_",A3,"_",B3)</f>
        <v>_Úzký ALU rámeček_Aventos HF</v>
      </c>
      <c r="D3" t="s">
        <v>1033</v>
      </c>
      <c r="E3" t="s">
        <v>1034</v>
      </c>
      <c r="F3" t="s">
        <v>1035</v>
      </c>
      <c r="G3" t="s">
        <v>1036</v>
      </c>
      <c r="H3" t="s">
        <v>1037</v>
      </c>
      <c r="I3" t="s">
        <v>1038</v>
      </c>
      <c r="S3" s="23"/>
      <c r="T3">
        <v>1</v>
      </c>
      <c r="U3" t="s">
        <v>2</v>
      </c>
      <c r="V3" t="s">
        <v>1039</v>
      </c>
      <c r="W3" t="s">
        <v>1040</v>
      </c>
      <c r="X3" s="23"/>
      <c r="AF3" s="23"/>
      <c r="AO3" t="str">
        <f>'Translate&amp;Prices&amp;Logo'!B230</f>
        <v>W dół</v>
      </c>
      <c r="AP3" t="str">
        <f>'Translate&amp;Prices&amp;Logo'!B232</f>
        <v>W lewo</v>
      </c>
      <c r="BQ3" t="s">
        <v>984</v>
      </c>
      <c r="BR3" t="s">
        <v>954</v>
      </c>
      <c r="BW3" t="str">
        <f>'Translate&amp;Prices&amp;Logo'!$B$231</f>
        <v>W prawo</v>
      </c>
      <c r="CG3" t="s">
        <v>2370</v>
      </c>
      <c r="CH3" t="s">
        <v>2370</v>
      </c>
      <c r="CI3" t="s">
        <v>2150</v>
      </c>
      <c r="CJ3" t="s">
        <v>2150</v>
      </c>
      <c r="CK3" t="s">
        <v>964</v>
      </c>
      <c r="CL3" t="s">
        <v>964</v>
      </c>
      <c r="CM3" t="s">
        <v>967</v>
      </c>
      <c r="CN3" t="s">
        <v>967</v>
      </c>
      <c r="CO3" t="s">
        <v>974</v>
      </c>
      <c r="CP3" t="s">
        <v>974</v>
      </c>
      <c r="CQ3" t="s">
        <v>1109</v>
      </c>
      <c r="CR3" t="s">
        <v>1109</v>
      </c>
      <c r="CS3" t="s">
        <v>969</v>
      </c>
      <c r="CT3" t="s">
        <v>969</v>
      </c>
      <c r="CU3" t="s">
        <v>975</v>
      </c>
      <c r="CV3" t="s">
        <v>975</v>
      </c>
      <c r="CW3" t="s">
        <v>2533</v>
      </c>
      <c r="CX3" t="s">
        <v>2533</v>
      </c>
      <c r="CY3" t="s">
        <v>978</v>
      </c>
      <c r="CZ3" t="s">
        <v>978</v>
      </c>
      <c r="DA3" t="s">
        <v>2547</v>
      </c>
      <c r="DB3" t="s">
        <v>2547</v>
      </c>
      <c r="DC3" t="s">
        <v>980</v>
      </c>
      <c r="DD3" t="s">
        <v>980</v>
      </c>
      <c r="DE3" t="s">
        <v>981</v>
      </c>
      <c r="DF3" t="s">
        <v>981</v>
      </c>
      <c r="DG3" t="s">
        <v>2503</v>
      </c>
      <c r="DH3" t="s">
        <v>2503</v>
      </c>
      <c r="DI3" t="s">
        <v>2504</v>
      </c>
      <c r="DJ3" t="s">
        <v>2504</v>
      </c>
      <c r="DK3" t="s">
        <v>985</v>
      </c>
      <c r="DL3" t="s">
        <v>985</v>
      </c>
    </row>
    <row r="4" spans="1:156">
      <c r="A4" s="24" t="s">
        <v>106</v>
      </c>
      <c r="B4" s="24" t="s">
        <v>566</v>
      </c>
      <c r="C4" s="24" t="str">
        <f>CONCATENATE("_",A4,"_",B4)</f>
        <v>_Široký ALU rámeček_Aventos HF</v>
      </c>
      <c r="D4" t="s">
        <v>1041</v>
      </c>
      <c r="E4" t="s">
        <v>1034</v>
      </c>
      <c r="F4" t="s">
        <v>1042</v>
      </c>
      <c r="G4" t="s">
        <v>1043</v>
      </c>
      <c r="H4" t="s">
        <v>1044</v>
      </c>
      <c r="I4" t="s">
        <v>1045</v>
      </c>
      <c r="S4" s="23"/>
      <c r="V4" t="s">
        <v>1046</v>
      </c>
      <c r="W4" t="s">
        <v>1047</v>
      </c>
      <c r="X4" s="23"/>
      <c r="AF4" s="23"/>
      <c r="AO4" t="str">
        <f>'Translate&amp;Prices&amp;Logo'!B231</f>
        <v>W prawo</v>
      </c>
      <c r="BQ4" t="s">
        <v>954</v>
      </c>
      <c r="BR4" t="s">
        <v>976</v>
      </c>
      <c r="BW4" t="str">
        <f>'Translate&amp;Prices&amp;Logo'!$B$229</f>
        <v>W górę</v>
      </c>
      <c r="CG4" t="s">
        <v>3623</v>
      </c>
      <c r="CH4" t="s">
        <v>3624</v>
      </c>
      <c r="CI4" t="s">
        <v>3625</v>
      </c>
      <c r="CJ4" t="s">
        <v>3626</v>
      </c>
      <c r="CK4" t="s">
        <v>3627</v>
      </c>
      <c r="CL4" t="s">
        <v>3628</v>
      </c>
      <c r="CM4" t="s">
        <v>3629</v>
      </c>
      <c r="CN4" t="s">
        <v>3630</v>
      </c>
      <c r="CO4" t="s">
        <v>3631</v>
      </c>
      <c r="CP4" t="s">
        <v>3632</v>
      </c>
      <c r="CQ4" t="s">
        <v>3633</v>
      </c>
      <c r="CR4" t="s">
        <v>3634</v>
      </c>
      <c r="CS4" t="s">
        <v>3635</v>
      </c>
      <c r="CT4" t="s">
        <v>3636</v>
      </c>
      <c r="CU4" t="s">
        <v>3637</v>
      </c>
      <c r="CV4" t="s">
        <v>3638</v>
      </c>
      <c r="CW4" t="s">
        <v>3639</v>
      </c>
      <c r="CX4" t="s">
        <v>3640</v>
      </c>
      <c r="CY4" t="s">
        <v>3641</v>
      </c>
      <c r="CZ4" t="s">
        <v>3642</v>
      </c>
      <c r="DA4" t="s">
        <v>3643</v>
      </c>
      <c r="DB4" t="s">
        <v>3644</v>
      </c>
      <c r="DC4" t="s">
        <v>3645</v>
      </c>
      <c r="DD4" t="s">
        <v>3646</v>
      </c>
      <c r="DE4" t="s">
        <v>3647</v>
      </c>
      <c r="DF4" t="s">
        <v>3648</v>
      </c>
      <c r="DG4" t="s">
        <v>3649</v>
      </c>
      <c r="DH4" t="s">
        <v>3650</v>
      </c>
      <c r="DI4" t="s">
        <v>3651</v>
      </c>
      <c r="DJ4" t="s">
        <v>3652</v>
      </c>
      <c r="DK4" t="s">
        <v>3653</v>
      </c>
      <c r="DL4" t="s">
        <v>3654</v>
      </c>
      <c r="DM4" t="s">
        <v>3072</v>
      </c>
      <c r="DN4" t="s">
        <v>3069</v>
      </c>
      <c r="DO4" t="s">
        <v>3070</v>
      </c>
      <c r="DP4" t="s">
        <v>3071</v>
      </c>
      <c r="DQ4" t="s">
        <v>3067</v>
      </c>
      <c r="DR4" t="s">
        <v>3068</v>
      </c>
      <c r="DS4" t="s">
        <v>3065</v>
      </c>
      <c r="DT4" t="s">
        <v>3066</v>
      </c>
      <c r="DU4" t="s">
        <v>3078</v>
      </c>
      <c r="DV4" t="s">
        <v>3079</v>
      </c>
      <c r="DW4" t="s">
        <v>3080</v>
      </c>
      <c r="DX4" t="s">
        <v>3081</v>
      </c>
      <c r="DY4" t="s">
        <v>3083</v>
      </c>
      <c r="DZ4" t="s">
        <v>3084</v>
      </c>
      <c r="EA4" t="s">
        <v>3085</v>
      </c>
      <c r="EB4" t="s">
        <v>3086</v>
      </c>
      <c r="EC4" t="s">
        <v>4085</v>
      </c>
      <c r="ED4" t="s">
        <v>4086</v>
      </c>
      <c r="EE4" t="s">
        <v>4091</v>
      </c>
      <c r="EF4" t="s">
        <v>4092</v>
      </c>
      <c r="EG4" t="s">
        <v>4089</v>
      </c>
      <c r="EH4" t="s">
        <v>4090</v>
      </c>
      <c r="EI4" t="s">
        <v>4088</v>
      </c>
      <c r="EJ4" t="s">
        <v>4087</v>
      </c>
      <c r="EK4" t="s">
        <v>4110</v>
      </c>
      <c r="EL4" t="s">
        <v>4111</v>
      </c>
      <c r="EM4" t="s">
        <v>4112</v>
      </c>
      <c r="EN4" t="s">
        <v>4113</v>
      </c>
      <c r="EO4" t="s">
        <v>4114</v>
      </c>
      <c r="EP4" t="s">
        <v>4115</v>
      </c>
      <c r="EQ4" t="s">
        <v>4116</v>
      </c>
      <c r="ER4" t="s">
        <v>4117</v>
      </c>
      <c r="ES4" t="s">
        <v>4125</v>
      </c>
      <c r="ET4" t="s">
        <v>4126</v>
      </c>
      <c r="EU4" t="s">
        <v>4127</v>
      </c>
      <c r="EV4" t="s">
        <v>4128</v>
      </c>
      <c r="EW4" t="s">
        <v>4129</v>
      </c>
      <c r="EX4" t="s">
        <v>4130</v>
      </c>
      <c r="EY4" t="s">
        <v>4131</v>
      </c>
      <c r="EZ4" t="s">
        <v>4132</v>
      </c>
    </row>
    <row r="5" spans="1:156">
      <c r="A5" s="27" t="s">
        <v>105</v>
      </c>
      <c r="B5" t="s">
        <v>2150</v>
      </c>
      <c r="C5" s="27" t="str">
        <f t="shared" ref="C5:C34" si="0">CONCATENATE("_",A5,"_",B5)</f>
        <v>_Úzký ALU rámeček_Aventos_HK_XS</v>
      </c>
      <c r="D5" t="s">
        <v>1033</v>
      </c>
      <c r="E5" t="s">
        <v>1034</v>
      </c>
      <c r="F5" t="s">
        <v>1049</v>
      </c>
      <c r="G5" t="s">
        <v>1050</v>
      </c>
      <c r="S5" s="23"/>
      <c r="V5" t="s">
        <v>1051</v>
      </c>
      <c r="W5" t="s">
        <v>1052</v>
      </c>
      <c r="X5" s="23"/>
      <c r="AF5" s="23"/>
      <c r="AO5" t="str">
        <f>'Translate&amp;Prices&amp;Logo'!B232</f>
        <v>W lewo</v>
      </c>
      <c r="BQ5" t="s">
        <v>2436</v>
      </c>
      <c r="BR5" t="s">
        <v>2499</v>
      </c>
      <c r="BW5" t="str">
        <f>'Translate&amp;Prices&amp;Logo'!$B$230</f>
        <v>W dół</v>
      </c>
      <c r="CG5" t="s">
        <v>2568</v>
      </c>
      <c r="CH5" t="s">
        <v>2569</v>
      </c>
      <c r="CI5" t="str">
        <f>CONCATENATE("blum ",'Translate&amp;Prices&amp;Logo'!B664," 118033")</f>
        <v>blum z tłumieniem 118033</v>
      </c>
      <c r="CJ5" t="str">
        <f>CONCATENATE("blum ",'Translate&amp;Prices&amp;Logo'!B664," 12047")</f>
        <v>blum z tłumieniem 12047</v>
      </c>
      <c r="CK5" t="s">
        <v>2508</v>
      </c>
      <c r="CL5" t="s">
        <v>2509</v>
      </c>
      <c r="CM5" t="s">
        <v>2508</v>
      </c>
      <c r="CN5" t="s">
        <v>2509</v>
      </c>
      <c r="CO5" t="s">
        <v>2508</v>
      </c>
      <c r="CP5" t="s">
        <v>2509</v>
      </c>
      <c r="CQ5" t="str">
        <f>CONCATENATE("hettich ",'Translate&amp;Prices&amp;Logo'!B666," 300282")</f>
        <v>hettich dolny 300282</v>
      </c>
      <c r="CR5" t="str">
        <f>CONCATENATE("hettich ",'Translate&amp;Prices&amp;Logo'!B666," 232346")</f>
        <v>hettich dolny 232346</v>
      </c>
      <c r="CS5" t="str">
        <f>CONCATENATE("hettich ",'Translate&amp;Prices&amp;Logo'!B666," 300282")</f>
        <v>hettich dolny 300282</v>
      </c>
      <c r="CT5" t="str">
        <f>CONCATENATE("hettich ",'Translate&amp;Prices&amp;Logo'!B666," 232346")</f>
        <v>hettich dolny 232346</v>
      </c>
      <c r="CU5" t="s">
        <v>2508</v>
      </c>
      <c r="CV5" t="s">
        <v>2509</v>
      </c>
      <c r="CW5" t="s">
        <v>1076</v>
      </c>
      <c r="CX5" t="s">
        <v>1090</v>
      </c>
      <c r="CY5" t="s">
        <v>2508</v>
      </c>
      <c r="CZ5" t="s">
        <v>2509</v>
      </c>
      <c r="DA5" t="s">
        <v>1076</v>
      </c>
      <c r="DB5" t="s">
        <v>1090</v>
      </c>
      <c r="DC5" t="str">
        <f>CONCATENATE("hettich ",'Translate&amp;Prices&amp;Logo'!B666," 300282")</f>
        <v>hettich dolny 300282</v>
      </c>
      <c r="DD5" t="s">
        <v>1090</v>
      </c>
      <c r="DE5" t="str">
        <f>CONCATENATE("hettich ",'Translate&amp;Prices&amp;Logo'!B666," 300282")</f>
        <v>hettich dolny 300282</v>
      </c>
      <c r="DF5" t="s">
        <v>1090</v>
      </c>
      <c r="DG5" t="s">
        <v>2508</v>
      </c>
      <c r="DH5" t="s">
        <v>2509</v>
      </c>
      <c r="DI5" t="s">
        <v>2508</v>
      </c>
      <c r="DJ5" t="s">
        <v>2509</v>
      </c>
      <c r="DK5" t="str">
        <f>CONCATENATE("hettich ",'Translate&amp;Prices&amp;Logo'!B666," 300282")</f>
        <v>hettich dolny 300282</v>
      </c>
      <c r="DL5" t="s">
        <v>1090</v>
      </c>
      <c r="DM5" t="s">
        <v>2509</v>
      </c>
      <c r="DN5" t="s">
        <v>2508</v>
      </c>
      <c r="DO5" t="s">
        <v>2509</v>
      </c>
      <c r="DP5" t="s">
        <v>2508</v>
      </c>
      <c r="DQ5" t="s">
        <v>2535</v>
      </c>
      <c r="DR5" t="s">
        <v>1090</v>
      </c>
      <c r="DS5" t="s">
        <v>2535</v>
      </c>
      <c r="DT5" t="s">
        <v>1090</v>
      </c>
      <c r="DU5" t="s">
        <v>3082</v>
      </c>
      <c r="DV5" t="s">
        <v>1090</v>
      </c>
      <c r="DW5" t="s">
        <v>3082</v>
      </c>
      <c r="DX5" t="s">
        <v>1090</v>
      </c>
      <c r="DY5" t="s">
        <v>2508</v>
      </c>
      <c r="DZ5" t="s">
        <v>2509</v>
      </c>
      <c r="EA5" t="s">
        <v>2508</v>
      </c>
      <c r="EB5" t="s">
        <v>2509</v>
      </c>
      <c r="EC5" t="s">
        <v>2508</v>
      </c>
      <c r="ED5" t="s">
        <v>2509</v>
      </c>
      <c r="EE5" t="s">
        <v>2508</v>
      </c>
      <c r="EF5" t="s">
        <v>2509</v>
      </c>
      <c r="EG5" t="s">
        <v>4095</v>
      </c>
      <c r="EH5" t="s">
        <v>1090</v>
      </c>
      <c r="EI5" t="s">
        <v>4095</v>
      </c>
      <c r="EJ5" t="s">
        <v>1090</v>
      </c>
      <c r="EK5" t="s">
        <v>2508</v>
      </c>
      <c r="EL5" t="s">
        <v>2509</v>
      </c>
      <c r="EM5" t="s">
        <v>2508</v>
      </c>
      <c r="EN5" t="s">
        <v>2509</v>
      </c>
      <c r="EO5" t="s">
        <v>2989</v>
      </c>
      <c r="EP5" t="s">
        <v>1090</v>
      </c>
      <c r="EQ5" t="s">
        <v>2989</v>
      </c>
      <c r="ER5" t="s">
        <v>1090</v>
      </c>
      <c r="ES5" t="s">
        <v>2508</v>
      </c>
      <c r="ET5" t="s">
        <v>2509</v>
      </c>
      <c r="EU5" t="s">
        <v>2508</v>
      </c>
      <c r="EV5" t="s">
        <v>2509</v>
      </c>
      <c r="EW5" t="s">
        <v>4133</v>
      </c>
      <c r="EX5" t="s">
        <v>1090</v>
      </c>
      <c r="EY5" t="s">
        <v>4133</v>
      </c>
      <c r="EZ5" t="s">
        <v>1090</v>
      </c>
    </row>
    <row r="6" spans="1:156">
      <c r="A6" s="27" t="s">
        <v>106</v>
      </c>
      <c r="B6" t="s">
        <v>2150</v>
      </c>
      <c r="C6" s="27" t="str">
        <f t="shared" si="0"/>
        <v>_Široký ALU rámeček_Aventos_HK_XS</v>
      </c>
      <c r="D6" t="s">
        <v>1053</v>
      </c>
      <c r="E6" t="s">
        <v>1034</v>
      </c>
      <c r="F6" t="s">
        <v>1054</v>
      </c>
      <c r="G6" t="s">
        <v>1045</v>
      </c>
      <c r="H6" t="s">
        <v>1050</v>
      </c>
      <c r="S6" s="23"/>
      <c r="V6" t="s">
        <v>1052</v>
      </c>
      <c r="W6" t="s">
        <v>1055</v>
      </c>
      <c r="X6" s="23"/>
      <c r="AF6" s="23"/>
      <c r="BQ6" s="34" t="s">
        <v>2442</v>
      </c>
      <c r="BR6" t="s">
        <v>966</v>
      </c>
      <c r="CG6" t="s">
        <v>2568</v>
      </c>
      <c r="CH6" t="s">
        <v>2569</v>
      </c>
      <c r="CI6" t="s">
        <v>2568</v>
      </c>
      <c r="CJ6" t="str">
        <f>CONCATENATE("blum ",'Translate&amp;Prices&amp;Logo'!B664," 12047")</f>
        <v>blum z tłumieniem 12047</v>
      </c>
      <c r="CK6" t="str">
        <f>CONCATENATE("hettich ",'Translate&amp;Prices&amp;Logo'!B664," 300279")</f>
        <v>hettich z tłumieniem 300279</v>
      </c>
      <c r="CL6" t="str">
        <f>CONCATENATE("hettich ",'Translate&amp;Prices&amp;Logo'!B664," 104717")</f>
        <v>hettich z tłumieniem 104717</v>
      </c>
      <c r="CM6" t="str">
        <f>CONCATENATE("hettich ",'Translate&amp;Prices&amp;Logo'!B664," 300279")</f>
        <v>hettich z tłumieniem 300279</v>
      </c>
      <c r="CN6" t="str">
        <f>CONCATENATE("hettich ",'Translate&amp;Prices&amp;Logo'!B664," 104717")</f>
        <v>hettich z tłumieniem 104717</v>
      </c>
      <c r="CO6" t="str">
        <f>CONCATENATE("hettich ",'Translate&amp;Prices&amp;Logo'!B664," 300279")</f>
        <v>hettich z tłumieniem 300279</v>
      </c>
      <c r="CP6" t="str">
        <f>CONCATENATE("hettich ",'Translate&amp;Prices&amp;Logo'!B664," 104717")</f>
        <v>hettich z tłumieniem 104717</v>
      </c>
      <c r="CQ6" t="str">
        <f>CONCATENATE("hettich ",'Translate&amp;Prices&amp;Logo'!B665," 300279")</f>
        <v>hettich gorny 300279</v>
      </c>
      <c r="CR6" t="str">
        <f>CONCATENATE("hettich ",'Translate&amp;Prices&amp;Logo'!B665," 104717")</f>
        <v>hettich gorny 104717</v>
      </c>
      <c r="CS6" t="str">
        <f>CONCATENATE("hettich ",'Translate&amp;Prices&amp;Logo'!B665," 300279")</f>
        <v>hettich gorny 300279</v>
      </c>
      <c r="CT6" t="str">
        <f>CONCATENATE("hettich ",'Translate&amp;Prices&amp;Logo'!B665," 104717")</f>
        <v>hettich gorny 104717</v>
      </c>
      <c r="CU6" t="str">
        <f>CONCATENATE("hettich ",'Translate&amp;Prices&amp;Logo'!B664," 300279")</f>
        <v>hettich z tłumieniem 300279</v>
      </c>
      <c r="CV6" t="str">
        <f>CONCATENATE("hettich ",'Translate&amp;Prices&amp;Logo'!B664," 104717")</f>
        <v>hettich z tłumieniem 104717</v>
      </c>
      <c r="CW6" t="s">
        <v>1078</v>
      </c>
      <c r="CX6" t="s">
        <v>1084</v>
      </c>
      <c r="CY6" t="str">
        <f>CONCATENATE("hettich ",'Translate&amp;Prices&amp;Logo'!B664," 300279")</f>
        <v>hettich z tłumieniem 300279</v>
      </c>
      <c r="CZ6" t="str">
        <f>CONCATENATE("hettich ",'Translate&amp;Prices&amp;Logo'!B664," 104717")</f>
        <v>hettich z tłumieniem 104717</v>
      </c>
      <c r="DA6" t="s">
        <v>1078</v>
      </c>
      <c r="DB6" t="s">
        <v>1084</v>
      </c>
      <c r="DC6" t="str">
        <f>CONCATENATE("blum ",'Translate&amp;Prices&amp;Logo'!B666," 12106")</f>
        <v>blum dolny 12106</v>
      </c>
      <c r="DD6" t="str">
        <f>CONCATENATE("hettich ",'Translate&amp;Prices&amp;Logo'!B666," 232346")</f>
        <v>hettich dolny 232346</v>
      </c>
      <c r="DE6" t="str">
        <f>CONCATENATE("blum ",'Translate&amp;Prices&amp;Logo'!B666," 12106")</f>
        <v>blum dolny 12106</v>
      </c>
      <c r="DF6" t="str">
        <f>CONCATENATE("hettich ",'Translate&amp;Prices&amp;Logo'!B666," 232346")</f>
        <v>hettich dolny 232346</v>
      </c>
      <c r="DG6" t="s">
        <v>1333</v>
      </c>
      <c r="DH6" t="str">
        <f>CONCATENATE("hettich ",'Translate&amp;Prices&amp;Logo'!B664," 104717")</f>
        <v>hettich z tłumieniem 104717</v>
      </c>
      <c r="DI6" t="str">
        <f>CONCATENATE("hettich ",'Translate&amp;Prices&amp;Logo'!B664," 300279")</f>
        <v>hettich z tłumieniem 300279</v>
      </c>
      <c r="DJ6" t="str">
        <f>CONCATENATE("hettich ",'Translate&amp;Prices&amp;Logo'!B664," 104717")</f>
        <v>hettich z tłumieniem 104717</v>
      </c>
      <c r="DK6" t="str">
        <f>CONCATENATE("blum ",'Translate&amp;Prices&amp;Logo'!B666," 12106")</f>
        <v>blum dolny 12106</v>
      </c>
      <c r="DL6" t="str">
        <f>CONCATENATE("hettich ",'Translate&amp;Prices&amp;Logo'!B666," 232346")</f>
        <v>hettich dolny 232346</v>
      </c>
      <c r="DM6" t="s">
        <v>4269</v>
      </c>
      <c r="DN6" t="s">
        <v>4270</v>
      </c>
      <c r="DO6" t="s">
        <v>4269</v>
      </c>
      <c r="DP6" t="s">
        <v>4270</v>
      </c>
      <c r="DQ6" t="s">
        <v>2536</v>
      </c>
      <c r="DR6" t="s">
        <v>2538</v>
      </c>
      <c r="DS6" t="s">
        <v>2536</v>
      </c>
      <c r="DT6" t="s">
        <v>2538</v>
      </c>
      <c r="DU6" t="s">
        <v>3087</v>
      </c>
      <c r="DV6" t="s">
        <v>3088</v>
      </c>
      <c r="DW6" t="s">
        <v>3087</v>
      </c>
      <c r="DX6" t="s">
        <v>3088</v>
      </c>
      <c r="DY6" t="s">
        <v>2541</v>
      </c>
      <c r="DZ6" t="s">
        <v>2544</v>
      </c>
      <c r="EA6" t="s">
        <v>2541</v>
      </c>
      <c r="EB6" t="s">
        <v>2544</v>
      </c>
      <c r="EC6" t="s">
        <v>4096</v>
      </c>
      <c r="ED6" t="s">
        <v>4097</v>
      </c>
      <c r="EE6" t="s">
        <v>4096</v>
      </c>
      <c r="EF6" t="s">
        <v>4097</v>
      </c>
      <c r="EG6" t="s">
        <v>4098</v>
      </c>
      <c r="EH6" t="s">
        <v>4099</v>
      </c>
      <c r="EI6" t="s">
        <v>4098</v>
      </c>
      <c r="EJ6" t="s">
        <v>4099</v>
      </c>
      <c r="EK6" t="s">
        <v>2991</v>
      </c>
      <c r="EL6" t="s">
        <v>2992</v>
      </c>
      <c r="EM6" t="s">
        <v>2991</v>
      </c>
      <c r="EN6" t="s">
        <v>2992</v>
      </c>
      <c r="EO6" t="s">
        <v>2995</v>
      </c>
      <c r="EP6" t="s">
        <v>2990</v>
      </c>
      <c r="EQ6" t="s">
        <v>2995</v>
      </c>
      <c r="ER6" t="s">
        <v>2990</v>
      </c>
      <c r="ES6" t="s">
        <v>2981</v>
      </c>
      <c r="ET6" t="s">
        <v>2982</v>
      </c>
      <c r="EU6" t="s">
        <v>2981</v>
      </c>
      <c r="EV6" t="s">
        <v>2982</v>
      </c>
      <c r="EW6" t="s">
        <v>4134</v>
      </c>
      <c r="EX6" t="s">
        <v>4135</v>
      </c>
      <c r="EY6" t="s">
        <v>4134</v>
      </c>
      <c r="EZ6" t="s">
        <v>4135</v>
      </c>
    </row>
    <row r="7" spans="1:156">
      <c r="A7" s="24" t="s">
        <v>105</v>
      </c>
      <c r="B7" s="24" t="s">
        <v>964</v>
      </c>
      <c r="C7" s="24" t="str">
        <f t="shared" si="0"/>
        <v>_Úzký ALU rámeček_FREElight</v>
      </c>
      <c r="D7" t="s">
        <v>1056</v>
      </c>
      <c r="E7" t="s">
        <v>1333</v>
      </c>
      <c r="F7" t="s">
        <v>1058</v>
      </c>
      <c r="G7" t="s">
        <v>1334</v>
      </c>
      <c r="I7" t="s">
        <v>1061</v>
      </c>
      <c r="J7" t="s">
        <v>1337</v>
      </c>
      <c r="S7" s="23"/>
      <c r="V7" t="s">
        <v>1063</v>
      </c>
      <c r="W7" t="s">
        <v>1064</v>
      </c>
      <c r="X7" s="23"/>
      <c r="AF7" s="23"/>
      <c r="BQ7" s="7" t="s">
        <v>2442</v>
      </c>
      <c r="BR7" t="s">
        <v>984</v>
      </c>
      <c r="CG7" t="s">
        <v>2568</v>
      </c>
      <c r="CH7" t="s">
        <v>2569</v>
      </c>
      <c r="CI7" t="s">
        <v>2568</v>
      </c>
      <c r="CJ7" t="str">
        <f>CONCATENATE("blum ",'Translate&amp;Prices&amp;Logo'!B664," 12047")</f>
        <v>blum z tłumieniem 12047</v>
      </c>
      <c r="CK7" t="s">
        <v>1058</v>
      </c>
      <c r="CL7" t="s">
        <v>1067</v>
      </c>
      <c r="CM7" t="s">
        <v>1058</v>
      </c>
      <c r="CN7" t="s">
        <v>1067</v>
      </c>
      <c r="CO7" t="s">
        <v>1058</v>
      </c>
      <c r="CP7" t="s">
        <v>1067</v>
      </c>
      <c r="CQ7" t="str">
        <f>CONCATENATE("blum ",'Translate&amp;Prices&amp;Logo'!B666," 12106")</f>
        <v>blum dolny 12106</v>
      </c>
      <c r="CR7" t="str">
        <f>CONCATENATE("blum ",'Translate&amp;Prices&amp;Logo'!B666," 12052")</f>
        <v>blum dolny 12052</v>
      </c>
      <c r="CS7" t="str">
        <f>CONCATENATE("blum ",'Translate&amp;Prices&amp;Logo'!B666," 12106")</f>
        <v>blum dolny 12106</v>
      </c>
      <c r="CT7" t="str">
        <f>CONCATENATE("blum ",'Translate&amp;Prices&amp;Logo'!B666," 12052")</f>
        <v>blum dolny 12052</v>
      </c>
      <c r="CU7" t="s">
        <v>1058</v>
      </c>
      <c r="CV7" t="s">
        <v>1067</v>
      </c>
      <c r="CW7" t="s">
        <v>4389</v>
      </c>
      <c r="CX7" t="s">
        <v>1086</v>
      </c>
      <c r="CY7" t="s">
        <v>1058</v>
      </c>
      <c r="CZ7" t="s">
        <v>1067</v>
      </c>
      <c r="DA7" t="s">
        <v>4389</v>
      </c>
      <c r="DB7" t="s">
        <v>1086</v>
      </c>
      <c r="DC7" t="str">
        <f>CONCATENATE("strong ",'Translate&amp;Prices&amp;Logo'!B666," 92584T")</f>
        <v>strong dolny 92584T</v>
      </c>
      <c r="DD7" t="str">
        <f>CONCATENATE("blum ",'Translate&amp;Prices&amp;Logo'!B666," 12052")</f>
        <v>blum dolny 12052</v>
      </c>
      <c r="DE7" t="str">
        <f>CONCATENATE("strong ",'Translate&amp;Prices&amp;Logo'!B666," 92584T")</f>
        <v>strong dolny 92584T</v>
      </c>
      <c r="DF7" t="str">
        <f>CONCATENATE("blum ",'Translate&amp;Prices&amp;Logo'!B666," 12052")</f>
        <v>blum dolny 12052</v>
      </c>
      <c r="DG7" t="s">
        <v>1058</v>
      </c>
      <c r="DH7" t="s">
        <v>1067</v>
      </c>
      <c r="DI7" t="s">
        <v>1058</v>
      </c>
      <c r="DJ7" t="s">
        <v>1067</v>
      </c>
      <c r="DK7" t="str">
        <f>CONCATENATE("strong ",'Translate&amp;Prices&amp;Logo'!B666," 92584T")</f>
        <v>strong dolny 92584T</v>
      </c>
      <c r="DL7" t="str">
        <f>CONCATENATE("blum ",'Translate&amp;Prices&amp;Logo'!B666," 12052")</f>
        <v>blum dolny 12052</v>
      </c>
      <c r="DM7" t="s">
        <v>1067</v>
      </c>
      <c r="DN7" t="s">
        <v>1058</v>
      </c>
      <c r="DO7" t="s">
        <v>1067</v>
      </c>
      <c r="DP7" t="s">
        <v>1058</v>
      </c>
      <c r="DQ7" t="s">
        <v>4390</v>
      </c>
      <c r="DR7" t="s">
        <v>2539</v>
      </c>
      <c r="DS7" t="s">
        <v>4390</v>
      </c>
      <c r="DT7" t="s">
        <v>2539</v>
      </c>
      <c r="DU7" t="s">
        <v>4391</v>
      </c>
      <c r="DV7" t="s">
        <v>3089</v>
      </c>
      <c r="DW7" t="s">
        <v>4391</v>
      </c>
      <c r="DX7" t="s">
        <v>3089</v>
      </c>
      <c r="DY7" t="s">
        <v>1058</v>
      </c>
      <c r="DZ7" t="s">
        <v>1067</v>
      </c>
      <c r="EA7" t="s">
        <v>1058</v>
      </c>
      <c r="EB7" t="s">
        <v>1067</v>
      </c>
      <c r="EC7" t="s">
        <v>1058</v>
      </c>
      <c r="ED7" t="s">
        <v>1067</v>
      </c>
      <c r="EE7" t="s">
        <v>1058</v>
      </c>
      <c r="EF7" t="s">
        <v>1067</v>
      </c>
      <c r="EG7" t="s">
        <v>4392</v>
      </c>
      <c r="EH7" t="s">
        <v>4101</v>
      </c>
      <c r="EI7" t="s">
        <v>4392</v>
      </c>
      <c r="EJ7" t="s">
        <v>4101</v>
      </c>
      <c r="EK7" t="s">
        <v>1058</v>
      </c>
      <c r="EL7" t="s">
        <v>1067</v>
      </c>
      <c r="EM7" t="s">
        <v>1058</v>
      </c>
      <c r="EN7" t="s">
        <v>1067</v>
      </c>
      <c r="EO7" t="s">
        <v>4393</v>
      </c>
      <c r="EP7" t="s">
        <v>2996</v>
      </c>
      <c r="EQ7" t="s">
        <v>4393</v>
      </c>
      <c r="ER7" t="s">
        <v>2996</v>
      </c>
      <c r="ES7" t="s">
        <v>1058</v>
      </c>
      <c r="ET7" t="s">
        <v>1067</v>
      </c>
      <c r="EU7" t="s">
        <v>1058</v>
      </c>
      <c r="EV7" t="s">
        <v>1067</v>
      </c>
      <c r="EW7" t="s">
        <v>4394</v>
      </c>
      <c r="EX7" t="s">
        <v>4136</v>
      </c>
      <c r="EY7" t="s">
        <v>4394</v>
      </c>
      <c r="EZ7" t="s">
        <v>4136</v>
      </c>
    </row>
    <row r="8" spans="1:156">
      <c r="A8" s="24" t="s">
        <v>106</v>
      </c>
      <c r="B8" s="24" t="s">
        <v>964</v>
      </c>
      <c r="C8" s="24" t="str">
        <f t="shared" si="0"/>
        <v>_Široký ALU rámeček_FREElight</v>
      </c>
      <c r="D8" t="s">
        <v>1065</v>
      </c>
      <c r="E8" t="s">
        <v>1338</v>
      </c>
      <c r="F8" t="s">
        <v>1067</v>
      </c>
      <c r="G8" t="s">
        <v>1339</v>
      </c>
      <c r="H8" t="s">
        <v>1069</v>
      </c>
      <c r="I8" t="s">
        <v>1340</v>
      </c>
      <c r="S8" s="23"/>
      <c r="V8" t="s">
        <v>1071</v>
      </c>
      <c r="W8" t="s">
        <v>1072</v>
      </c>
      <c r="X8" s="23"/>
      <c r="AF8" s="23"/>
      <c r="CG8" t="s">
        <v>2568</v>
      </c>
      <c r="CH8" t="s">
        <v>2569</v>
      </c>
      <c r="CI8" t="s">
        <v>2568</v>
      </c>
      <c r="CJ8" t="str">
        <f>CONCATENATE("blum ",'Translate&amp;Prices&amp;Logo'!B664," 12047")</f>
        <v>blum z tłumieniem 12047</v>
      </c>
      <c r="CK8" t="s">
        <v>1061</v>
      </c>
      <c r="CL8" t="str">
        <f>CONCATENATE("blum ",'Translate&amp;Prices&amp;Logo'!B664," 12047")</f>
        <v>blum z tłumieniem 12047</v>
      </c>
      <c r="CM8" t="s">
        <v>1061</v>
      </c>
      <c r="CN8" t="str">
        <f>CONCATENATE("blum ",'Translate&amp;Prices&amp;Logo'!B664," 12047")</f>
        <v>blum z tłumieniem 12047</v>
      </c>
      <c r="CO8" t="s">
        <v>1061</v>
      </c>
      <c r="CP8" t="str">
        <f>CONCATENATE("blum ",'Translate&amp;Prices&amp;Logo'!B664," 12047")</f>
        <v>blum z tłumieniem 12047</v>
      </c>
      <c r="CQ8" t="str">
        <f>CONCATENATE("strong ",'Translate&amp;Prices&amp;Logo'!B666," 92584T")</f>
        <v>strong dolny 92584T</v>
      </c>
      <c r="CR8" t="str">
        <f>CONCATENATE("blum ",'Translate&amp;Prices&amp;Logo'!B665," 12047")</f>
        <v>blum gorny 12047</v>
      </c>
      <c r="CS8" t="str">
        <f>CONCATENATE("strong ",'Translate&amp;Prices&amp;Logo'!B666," 92584T")</f>
        <v>strong dolny 92584T</v>
      </c>
      <c r="CT8" t="str">
        <f>CONCATENATE("blum ",'Translate&amp;Prices&amp;Logo'!B665," 12047")</f>
        <v>blum gorny 12047</v>
      </c>
      <c r="CU8" t="s">
        <v>1061</v>
      </c>
      <c r="CV8" t="str">
        <f>CONCATENATE("blum ",'Translate&amp;Prices&amp;Logo'!B664," 12047")</f>
        <v>blum z tłumieniem 12047</v>
      </c>
      <c r="CW8" t="s">
        <v>4389</v>
      </c>
      <c r="CX8" t="s">
        <v>1088</v>
      </c>
      <c r="CY8" t="s">
        <v>1061</v>
      </c>
      <c r="CZ8" t="str">
        <f>CONCATENATE("blum ",'Translate&amp;Prices&amp;Logo'!B664," 12047")</f>
        <v>blum z tłumieniem 12047</v>
      </c>
      <c r="DA8" t="s">
        <v>4389</v>
      </c>
      <c r="DB8" t="s">
        <v>1088</v>
      </c>
      <c r="DC8" t="str">
        <f>CONCATENATE("strong ",'Translate&amp;Prices&amp;Logo'!B666," 92584T")</f>
        <v>strong dolny 92584T</v>
      </c>
      <c r="DD8" t="str">
        <f>CONCATENATE("strong ",'Translate&amp;Prices&amp;Logo'!B666," 350834")</f>
        <v>strong dolny 350834</v>
      </c>
      <c r="DE8" t="str">
        <f>CONCATENATE("strong ",'Translate&amp;Prices&amp;Logo'!B666," 92584T")</f>
        <v>strong dolny 92584T</v>
      </c>
      <c r="DF8" t="str">
        <f>CONCATENATE("strong ",'Translate&amp;Prices&amp;Logo'!B666," 350834")</f>
        <v>strong dolny 350834</v>
      </c>
      <c r="DG8" t="s">
        <v>1061</v>
      </c>
      <c r="DH8" t="str">
        <f>CONCATENATE("blum ",'Translate&amp;Prices&amp;Logo'!B664," 12047")</f>
        <v>blum z tłumieniem 12047</v>
      </c>
      <c r="DI8" t="s">
        <v>1061</v>
      </c>
      <c r="DJ8" t="str">
        <f>CONCATENATE("blum ",'Translate&amp;Prices&amp;Logo'!B664," 12047")</f>
        <v>blum z tłumieniem 12047</v>
      </c>
      <c r="DK8" t="str">
        <f>CONCATENATE("strong ",'Translate&amp;Prices&amp;Logo'!B666," 92584T")</f>
        <v>strong dolny 92584T</v>
      </c>
      <c r="DL8" t="str">
        <f>CONCATENATE("strong ",'Translate&amp;Prices&amp;Logo'!B666," 350834")</f>
        <v>strong dolny 350834</v>
      </c>
      <c r="DM8" t="s">
        <v>4271</v>
      </c>
      <c r="DN8" t="s">
        <v>1061</v>
      </c>
      <c r="DO8" t="s">
        <v>4271</v>
      </c>
      <c r="DP8" t="s">
        <v>1061</v>
      </c>
      <c r="DR8" t="s">
        <v>2540</v>
      </c>
      <c r="DS8" t="s">
        <v>4390</v>
      </c>
      <c r="DT8" t="s">
        <v>2540</v>
      </c>
      <c r="DU8" t="s">
        <v>4391</v>
      </c>
      <c r="DV8" t="s">
        <v>3090</v>
      </c>
      <c r="DW8" t="s">
        <v>4391</v>
      </c>
      <c r="DX8" t="s">
        <v>3090</v>
      </c>
      <c r="DY8" t="s">
        <v>1061</v>
      </c>
      <c r="DZ8" t="s">
        <v>2545</v>
      </c>
      <c r="EA8" t="s">
        <v>1061</v>
      </c>
      <c r="EB8" t="s">
        <v>2545</v>
      </c>
      <c r="EC8" t="s">
        <v>1061</v>
      </c>
      <c r="ED8" t="s">
        <v>4102</v>
      </c>
      <c r="EE8" t="s">
        <v>1061</v>
      </c>
      <c r="EF8" t="s">
        <v>4102</v>
      </c>
      <c r="EG8" t="s">
        <v>4392</v>
      </c>
      <c r="EH8" t="s">
        <v>4103</v>
      </c>
      <c r="EI8" t="s">
        <v>4392</v>
      </c>
      <c r="EJ8" t="s">
        <v>4103</v>
      </c>
      <c r="EK8" t="s">
        <v>1061</v>
      </c>
      <c r="EL8" t="s">
        <v>2988</v>
      </c>
      <c r="EM8" t="s">
        <v>1061</v>
      </c>
      <c r="EN8" t="s">
        <v>2988</v>
      </c>
      <c r="EO8" t="s">
        <v>4393</v>
      </c>
      <c r="EP8" t="s">
        <v>2999</v>
      </c>
      <c r="EQ8" t="s">
        <v>4393</v>
      </c>
      <c r="ER8" t="s">
        <v>2999</v>
      </c>
      <c r="ES8" t="s">
        <v>1061</v>
      </c>
      <c r="ET8" t="s">
        <v>2980</v>
      </c>
      <c r="EU8" t="s">
        <v>1061</v>
      </c>
      <c r="EV8" t="s">
        <v>2980</v>
      </c>
      <c r="EW8" t="s">
        <v>4394</v>
      </c>
      <c r="EX8" t="s">
        <v>4137</v>
      </c>
      <c r="EY8" t="s">
        <v>4394</v>
      </c>
      <c r="EZ8" t="s">
        <v>4137</v>
      </c>
    </row>
    <row r="9" spans="1:156">
      <c r="A9" s="27" t="s">
        <v>105</v>
      </c>
      <c r="B9" s="27" t="s">
        <v>967</v>
      </c>
      <c r="C9" s="27" t="str">
        <f t="shared" si="0"/>
        <v>_Úzký ALU rámeček_FREEfold</v>
      </c>
      <c r="D9" t="s">
        <v>1056</v>
      </c>
      <c r="E9" t="s">
        <v>1333</v>
      </c>
      <c r="F9" t="s">
        <v>1058</v>
      </c>
      <c r="G9" t="s">
        <v>1334</v>
      </c>
      <c r="I9" t="s">
        <v>1061</v>
      </c>
      <c r="J9" t="s">
        <v>1337</v>
      </c>
      <c r="S9" s="23"/>
      <c r="V9" t="s">
        <v>1073</v>
      </c>
      <c r="W9" t="s">
        <v>1052</v>
      </c>
      <c r="X9" s="23"/>
      <c r="AF9" s="23"/>
      <c r="CG9" t="s">
        <v>2568</v>
      </c>
      <c r="CH9" t="s">
        <v>2569</v>
      </c>
      <c r="CI9" t="s">
        <v>2568</v>
      </c>
      <c r="CJ9" t="str">
        <f>CONCATENATE("blum ",'Translate&amp;Prices&amp;Logo'!B664," 12047")</f>
        <v>blum z tłumieniem 12047</v>
      </c>
      <c r="CK9" t="str">
        <f>CONCATENATE("strong ",'Translate&amp;Prices&amp;Logo'!B664," 92584T")</f>
        <v>strong z tłumieniem 92584T</v>
      </c>
      <c r="CL9" t="s">
        <v>1069</v>
      </c>
      <c r="CM9" t="str">
        <f>CONCATENATE("strong ",'Translate&amp;Prices&amp;Logo'!B664," 92584T")</f>
        <v>strong z tłumieniem 92584T</v>
      </c>
      <c r="CN9" t="s">
        <v>1069</v>
      </c>
      <c r="CO9" t="str">
        <f>CONCATENATE("strong ",'Translate&amp;Prices&amp;Logo'!B664," 92584T")</f>
        <v>strong z tłumieniem 92584T</v>
      </c>
      <c r="CP9" t="s">
        <v>1069</v>
      </c>
      <c r="CQ9" t="str">
        <f>CONCATENATE("strong ",'Translate&amp;Prices&amp;Logo'!B665," 92584T")</f>
        <v>strong gorny 92584T</v>
      </c>
      <c r="CR9" t="str">
        <f>CONCATENATE("strong ",'Translate&amp;Prices&amp;Logo'!B666," 350834")</f>
        <v>strong dolny 350834</v>
      </c>
      <c r="CS9" t="str">
        <f>CONCATENATE("strong ",'Translate&amp;Prices&amp;Logo'!B665," 92584T")</f>
        <v>strong gorny 92584T</v>
      </c>
      <c r="CT9" t="str">
        <f>CONCATENATE("strong ",'Translate&amp;Prices&amp;Logo'!B666," 350834")</f>
        <v>strong dolny 350834</v>
      </c>
      <c r="CU9" t="str">
        <f>CONCATENATE("strong ",'Translate&amp;Prices&amp;Logo'!B664," 92584T")</f>
        <v>strong z tłumieniem 92584T</v>
      </c>
      <c r="CV9" t="s">
        <v>1069</v>
      </c>
      <c r="CW9" t="s">
        <v>4389</v>
      </c>
      <c r="CX9" t="s">
        <v>1088</v>
      </c>
      <c r="CY9" t="str">
        <f>CONCATENATE("strong ",'Translate&amp;Prices&amp;Logo'!B664," 92584T")</f>
        <v>strong z tłumieniem 92584T</v>
      </c>
      <c r="CZ9" t="s">
        <v>1069</v>
      </c>
      <c r="DA9" t="s">
        <v>4389</v>
      </c>
      <c r="DB9" t="s">
        <v>1088</v>
      </c>
      <c r="DC9" t="str">
        <f>CONCATENATE("strong ",'Translate&amp;Prices&amp;Logo'!B666," 92584T")</f>
        <v>strong dolny 92584T</v>
      </c>
      <c r="DD9" t="str">
        <f>CONCATENATE("strong ",'Translate&amp;Prices&amp;Logo'!B666," 350834")</f>
        <v>strong dolny 350834</v>
      </c>
      <c r="DE9" t="str">
        <f>CONCATENATE("strong ",'Translate&amp;Prices&amp;Logo'!B666," 92584T")</f>
        <v>strong dolny 92584T</v>
      </c>
      <c r="DF9" t="str">
        <f>CONCATENATE("strong ",'Translate&amp;Prices&amp;Logo'!B666," 350834")</f>
        <v>strong dolny 350834</v>
      </c>
      <c r="DG9" t="s">
        <v>1337</v>
      </c>
      <c r="DH9" t="s">
        <v>1069</v>
      </c>
      <c r="DI9" t="str">
        <f>CONCATENATE("strong ",'Translate&amp;Prices&amp;Logo'!B664," 92584T")</f>
        <v>strong z tłumieniem 92584T</v>
      </c>
      <c r="DJ9" t="s">
        <v>1069</v>
      </c>
      <c r="DK9" t="str">
        <f>CONCATENATE("strong ",'Translate&amp;Prices&amp;Logo'!B666," 92584T")</f>
        <v>strong dolny 92584T</v>
      </c>
      <c r="DL9" t="str">
        <f>CONCATENATE("strong ",'Translate&amp;Prices&amp;Logo'!B666," 350834")</f>
        <v>strong dolny 350834</v>
      </c>
      <c r="DM9" t="s">
        <v>1069</v>
      </c>
      <c r="DN9" t="s">
        <v>4273</v>
      </c>
      <c r="DO9" t="s">
        <v>1069</v>
      </c>
      <c r="DP9" t="s">
        <v>4273</v>
      </c>
      <c r="DR9" t="s">
        <v>2540</v>
      </c>
      <c r="DS9" t="s">
        <v>4390</v>
      </c>
      <c r="DT9" t="s">
        <v>2540</v>
      </c>
      <c r="DU9" t="s">
        <v>4391</v>
      </c>
      <c r="DV9" t="s">
        <v>3090</v>
      </c>
      <c r="DW9" t="s">
        <v>4391</v>
      </c>
      <c r="DX9" t="s">
        <v>3090</v>
      </c>
      <c r="DY9" t="s">
        <v>2543</v>
      </c>
      <c r="DZ9" t="s">
        <v>1069</v>
      </c>
      <c r="EA9" t="s">
        <v>2543</v>
      </c>
      <c r="EB9" t="s">
        <v>1069</v>
      </c>
      <c r="EC9" t="s">
        <v>4105</v>
      </c>
      <c r="ED9" t="s">
        <v>1069</v>
      </c>
      <c r="EE9" t="s">
        <v>4105</v>
      </c>
      <c r="EF9" t="s">
        <v>1069</v>
      </c>
      <c r="EG9" t="s">
        <v>4392</v>
      </c>
      <c r="EH9" t="s">
        <v>4103</v>
      </c>
      <c r="EI9" t="s">
        <v>4392</v>
      </c>
      <c r="EJ9" t="s">
        <v>4103</v>
      </c>
      <c r="EK9" t="s">
        <v>3002</v>
      </c>
      <c r="EL9" t="s">
        <v>1069</v>
      </c>
      <c r="EM9" t="s">
        <v>3002</v>
      </c>
      <c r="EN9" t="s">
        <v>1069</v>
      </c>
      <c r="EO9" t="s">
        <v>4393</v>
      </c>
      <c r="EP9" t="s">
        <v>2999</v>
      </c>
      <c r="EQ9" t="s">
        <v>4393</v>
      </c>
      <c r="ER9" t="s">
        <v>2999</v>
      </c>
      <c r="ES9" t="s">
        <v>2984</v>
      </c>
      <c r="ET9" t="s">
        <v>1069</v>
      </c>
      <c r="EU9" t="s">
        <v>2984</v>
      </c>
      <c r="EV9" t="s">
        <v>1069</v>
      </c>
      <c r="EW9" t="s">
        <v>4394</v>
      </c>
      <c r="EX9" t="s">
        <v>4137</v>
      </c>
      <c r="EY9" t="s">
        <v>4394</v>
      </c>
      <c r="EZ9" t="s">
        <v>4137</v>
      </c>
    </row>
    <row r="10" spans="1:156">
      <c r="A10" s="27" t="s">
        <v>106</v>
      </c>
      <c r="B10" s="27" t="s">
        <v>967</v>
      </c>
      <c r="C10" s="27" t="str">
        <f t="shared" si="0"/>
        <v>_Široký ALU rámeček_FREEfold</v>
      </c>
      <c r="D10" t="s">
        <v>1065</v>
      </c>
      <c r="E10" t="s">
        <v>1338</v>
      </c>
      <c r="F10" t="s">
        <v>1067</v>
      </c>
      <c r="G10" t="s">
        <v>1339</v>
      </c>
      <c r="H10" t="s">
        <v>1069</v>
      </c>
      <c r="I10" t="s">
        <v>1340</v>
      </c>
      <c r="S10" s="23"/>
      <c r="W10" t="s">
        <v>1074</v>
      </c>
      <c r="X10" s="23"/>
      <c r="AF10" s="23"/>
      <c r="CG10" t="s">
        <v>2568</v>
      </c>
      <c r="CH10" t="s">
        <v>2569</v>
      </c>
      <c r="CI10" t="s">
        <v>2568</v>
      </c>
      <c r="CJ10" t="str">
        <f>CONCATENATE("blum ",'Translate&amp;Prices&amp;Logo'!B664," 12047")</f>
        <v>blum z tłumieniem 12047</v>
      </c>
      <c r="CK10" t="str">
        <f>CONCATENATE("strong ",'Translate&amp;Prices&amp;Logo'!B664," 92584T")</f>
        <v>strong z tłumieniem 92584T</v>
      </c>
      <c r="CL10" t="str">
        <f>CONCATENATE("strong ",'Translate&amp;Prices&amp;Logo'!B664," 350827")</f>
        <v>strong z tłumieniem 350827</v>
      </c>
      <c r="CM10" t="str">
        <f>CONCATENATE("strong ",'Translate&amp;Prices&amp;Logo'!B664," 92584T")</f>
        <v>strong z tłumieniem 92584T</v>
      </c>
      <c r="CN10" t="str">
        <f>CONCATENATE("strong ",'Translate&amp;Prices&amp;Logo'!B664," 350827")</f>
        <v>strong z tłumieniem 350827</v>
      </c>
      <c r="CO10" t="str">
        <f>CONCATENATE("strong ",'Translate&amp;Prices&amp;Logo'!B664," 92584T")</f>
        <v>strong z tłumieniem 92584T</v>
      </c>
      <c r="CP10" t="str">
        <f>CONCATENATE("strong ",'Translate&amp;Prices&amp;Logo'!B664," 350827")</f>
        <v>strong z tłumieniem 350827</v>
      </c>
      <c r="CQ10" t="str">
        <f>CONCATENATE("strong ",'Translate&amp;Prices&amp;Logo'!B665," 92584T")</f>
        <v>strong gorny 92584T</v>
      </c>
      <c r="CR10" t="str">
        <f>CONCATENATE("strong ",'Translate&amp;Prices&amp;Logo'!B665," 350827")</f>
        <v>strong gorny 350827</v>
      </c>
      <c r="CS10" t="str">
        <f>CONCATENATE("strong ",'Translate&amp;Prices&amp;Logo'!B665," 92584T")</f>
        <v>strong gorny 92584T</v>
      </c>
      <c r="CT10" t="str">
        <f>CONCATENATE("strong ",'Translate&amp;Prices&amp;Logo'!B665," 350827")</f>
        <v>strong gorny 350827</v>
      </c>
      <c r="CU10" t="str">
        <f>CONCATENATE("strong ",'Translate&amp;Prices&amp;Logo'!B664," 92584T")</f>
        <v>strong z tłumieniem 92584T</v>
      </c>
      <c r="CV10" t="str">
        <f>CONCATENATE("strong ",'Translate&amp;Prices&amp;Logo'!B664," 350827")</f>
        <v>strong z tłumieniem 350827</v>
      </c>
      <c r="CW10" t="s">
        <v>4389</v>
      </c>
      <c r="CX10" t="s">
        <v>1088</v>
      </c>
      <c r="CY10" t="str">
        <f>CONCATENATE("strong ",'Translate&amp;Prices&amp;Logo'!B664," 92584T")</f>
        <v>strong z tłumieniem 92584T</v>
      </c>
      <c r="CZ10" t="str">
        <f>CONCATENATE("strong ",'Translate&amp;Prices&amp;Logo'!B664," 350827")</f>
        <v>strong z tłumieniem 350827</v>
      </c>
      <c r="DA10" t="s">
        <v>4389</v>
      </c>
      <c r="DB10" t="s">
        <v>1088</v>
      </c>
      <c r="DC10" t="str">
        <f>CONCATENATE("strong ",'Translate&amp;Prices&amp;Logo'!B666," 92584T")</f>
        <v>strong dolny 92584T</v>
      </c>
      <c r="DD10" t="str">
        <f>CONCATENATE("strong ",'Translate&amp;Prices&amp;Logo'!B666," 350834")</f>
        <v>strong dolny 350834</v>
      </c>
      <c r="DE10" t="str">
        <f>CONCATENATE("strong ",'Translate&amp;Prices&amp;Logo'!B666," 92584T")</f>
        <v>strong dolny 92584T</v>
      </c>
      <c r="DF10" t="str">
        <f>CONCATENATE("strong ",'Translate&amp;Prices&amp;Logo'!B666," 350834")</f>
        <v>strong dolny 350834</v>
      </c>
      <c r="DG10" t="s">
        <v>1337</v>
      </c>
      <c r="DH10" t="str">
        <f>CONCATENATE("strong ",'Translate&amp;Prices&amp;Logo'!B664," 350827")</f>
        <v>strong z tłumieniem 350827</v>
      </c>
      <c r="DI10" t="str">
        <f>CONCATENATE("strong ",'Translate&amp;Prices&amp;Logo'!B664," 92584T")</f>
        <v>strong z tłumieniem 92584T</v>
      </c>
      <c r="DJ10" t="str">
        <f>CONCATENATE("strong ",'Translate&amp;Prices&amp;Logo'!B664," 350827")</f>
        <v>strong z tłumieniem 350827</v>
      </c>
      <c r="DK10" t="str">
        <f>CONCATENATE("strong ",'Translate&amp;Prices&amp;Logo'!B666," 92584T")</f>
        <v>strong dolny 92584T</v>
      </c>
      <c r="DL10" t="str">
        <f>CONCATENATE("strong ",'Translate&amp;Prices&amp;Logo'!B666," 350834")</f>
        <v>strong dolny 350834</v>
      </c>
      <c r="DM10" t="s">
        <v>4272</v>
      </c>
      <c r="DN10" t="s">
        <v>4273</v>
      </c>
      <c r="DO10" t="s">
        <v>4272</v>
      </c>
      <c r="DP10" t="s">
        <v>4273</v>
      </c>
      <c r="DR10" t="s">
        <v>2540</v>
      </c>
      <c r="DS10" t="s">
        <v>4390</v>
      </c>
      <c r="DT10" t="s">
        <v>2540</v>
      </c>
      <c r="DU10" t="s">
        <v>4391</v>
      </c>
      <c r="DV10" t="s">
        <v>3090</v>
      </c>
      <c r="DW10" t="s">
        <v>4391</v>
      </c>
      <c r="DX10" t="s">
        <v>3090</v>
      </c>
      <c r="DY10" t="s">
        <v>2543</v>
      </c>
      <c r="DZ10" t="s">
        <v>2546</v>
      </c>
      <c r="EA10" t="s">
        <v>2543</v>
      </c>
      <c r="EB10" t="s">
        <v>2546</v>
      </c>
      <c r="EC10" t="s">
        <v>4105</v>
      </c>
      <c r="ED10" t="s">
        <v>4106</v>
      </c>
      <c r="EE10" t="s">
        <v>4105</v>
      </c>
      <c r="EF10" t="s">
        <v>4106</v>
      </c>
      <c r="EG10" t="s">
        <v>4392</v>
      </c>
      <c r="EH10" t="s">
        <v>4103</v>
      </c>
      <c r="EI10" t="s">
        <v>4392</v>
      </c>
      <c r="EJ10" t="s">
        <v>4103</v>
      </c>
      <c r="EK10" t="s">
        <v>3002</v>
      </c>
      <c r="EL10" t="s">
        <v>3003</v>
      </c>
      <c r="EM10" t="s">
        <v>3002</v>
      </c>
      <c r="EN10" t="s">
        <v>3003</v>
      </c>
      <c r="EO10" t="s">
        <v>4393</v>
      </c>
      <c r="EP10" t="s">
        <v>2999</v>
      </c>
      <c r="EQ10" t="s">
        <v>4393</v>
      </c>
      <c r="ER10" t="s">
        <v>2999</v>
      </c>
      <c r="ES10" t="s">
        <v>2984</v>
      </c>
      <c r="ET10" t="s">
        <v>2985</v>
      </c>
      <c r="EU10" t="s">
        <v>2984</v>
      </c>
      <c r="EV10" t="s">
        <v>2985</v>
      </c>
      <c r="EW10" t="s">
        <v>4394</v>
      </c>
      <c r="EX10" t="s">
        <v>4137</v>
      </c>
      <c r="EY10" t="s">
        <v>4394</v>
      </c>
      <c r="EZ10" t="s">
        <v>4137</v>
      </c>
    </row>
    <row r="11" spans="1:156">
      <c r="A11" s="24" t="s">
        <v>105</v>
      </c>
      <c r="B11" s="24" t="s">
        <v>974</v>
      </c>
      <c r="C11" s="24" t="str">
        <f t="shared" si="0"/>
        <v>_Úzký ALU rámeček_Maxi</v>
      </c>
      <c r="D11" t="s">
        <v>1056</v>
      </c>
      <c r="E11" t="s">
        <v>1333</v>
      </c>
      <c r="F11" t="s">
        <v>1058</v>
      </c>
      <c r="G11" t="s">
        <v>1334</v>
      </c>
      <c r="I11" t="s">
        <v>1061</v>
      </c>
      <c r="J11" t="s">
        <v>1337</v>
      </c>
      <c r="S11" s="23"/>
      <c r="W11" t="s">
        <v>1075</v>
      </c>
      <c r="X11" s="23"/>
      <c r="AF11" s="23"/>
    </row>
    <row r="12" spans="1:156">
      <c r="A12" s="24" t="s">
        <v>106</v>
      </c>
      <c r="B12" s="24" t="s">
        <v>974</v>
      </c>
      <c r="C12" s="24" t="str">
        <f t="shared" si="0"/>
        <v>_Široký ALU rámeček_Maxi</v>
      </c>
      <c r="D12" t="s">
        <v>1065</v>
      </c>
      <c r="E12" t="s">
        <v>1338</v>
      </c>
      <c r="F12" t="s">
        <v>1067</v>
      </c>
      <c r="G12" t="s">
        <v>1339</v>
      </c>
      <c r="H12" t="s">
        <v>1069</v>
      </c>
      <c r="I12" t="s">
        <v>1340</v>
      </c>
      <c r="S12" s="23"/>
      <c r="T12">
        <v>2</v>
      </c>
      <c r="U12" t="s">
        <v>2</v>
      </c>
      <c r="V12" t="s">
        <v>1039</v>
      </c>
      <c r="W12" t="s">
        <v>1040</v>
      </c>
      <c r="X12" s="23"/>
      <c r="AF12" s="23"/>
    </row>
    <row r="13" spans="1:156">
      <c r="A13" s="27" t="s">
        <v>105</v>
      </c>
      <c r="B13" s="27" t="s">
        <v>972</v>
      </c>
      <c r="C13" s="27" t="str">
        <f t="shared" si="0"/>
        <v>_Úzký ALU rámeček_Duo Forte</v>
      </c>
      <c r="D13" t="s">
        <v>1076</v>
      </c>
      <c r="E13" t="s">
        <v>1077</v>
      </c>
      <c r="F13" t="s">
        <v>1078</v>
      </c>
      <c r="G13" t="s">
        <v>1079</v>
      </c>
      <c r="I13" t="s">
        <v>4389</v>
      </c>
      <c r="J13" t="s">
        <v>1083</v>
      </c>
      <c r="S13" s="23"/>
      <c r="V13" t="s">
        <v>1046</v>
      </c>
      <c r="W13" t="s">
        <v>1047</v>
      </c>
      <c r="X13" s="23"/>
      <c r="AF13" s="23"/>
    </row>
    <row r="14" spans="1:156">
      <c r="A14" s="27" t="s">
        <v>106</v>
      </c>
      <c r="B14" s="27" t="s">
        <v>972</v>
      </c>
      <c r="C14" s="27" t="str">
        <f t="shared" si="0"/>
        <v>_Široký ALU rámeček_Duo Forte</v>
      </c>
      <c r="D14" t="s">
        <v>1084</v>
      </c>
      <c r="E14" t="s">
        <v>1085</v>
      </c>
      <c r="F14" t="s">
        <v>1086</v>
      </c>
      <c r="G14" t="s">
        <v>1087</v>
      </c>
      <c r="H14" t="s">
        <v>1088</v>
      </c>
      <c r="I14" t="s">
        <v>1089</v>
      </c>
      <c r="S14" s="23"/>
      <c r="V14" t="s">
        <v>1051</v>
      </c>
      <c r="W14" t="s">
        <v>1052</v>
      </c>
      <c r="X14" s="23"/>
      <c r="AF14" s="23"/>
    </row>
    <row r="15" spans="1:156">
      <c r="A15" s="24" t="s">
        <v>105</v>
      </c>
      <c r="B15" s="24" t="s">
        <v>969</v>
      </c>
      <c r="C15" s="24" t="str">
        <f t="shared" si="0"/>
        <v>_Úzký ALU rámeček_Duo</v>
      </c>
      <c r="D15" t="s">
        <v>1076</v>
      </c>
      <c r="E15" t="s">
        <v>1077</v>
      </c>
      <c r="F15" t="s">
        <v>1078</v>
      </c>
      <c r="G15" t="s">
        <v>1079</v>
      </c>
      <c r="I15" t="s">
        <v>4389</v>
      </c>
      <c r="J15" t="s">
        <v>1083</v>
      </c>
      <c r="S15" s="23"/>
      <c r="V15" t="s">
        <v>1052</v>
      </c>
      <c r="W15" t="s">
        <v>1055</v>
      </c>
      <c r="X15" s="23"/>
      <c r="AF15" s="23"/>
    </row>
    <row r="16" spans="1:156">
      <c r="A16" s="24" t="s">
        <v>106</v>
      </c>
      <c r="B16" s="24" t="s">
        <v>969</v>
      </c>
      <c r="C16" s="24" t="str">
        <f t="shared" si="0"/>
        <v>_Široký ALU rámeček_Duo</v>
      </c>
      <c r="D16" t="s">
        <v>1084</v>
      </c>
      <c r="E16" t="s">
        <v>1085</v>
      </c>
      <c r="F16" t="s">
        <v>1086</v>
      </c>
      <c r="G16" t="s">
        <v>1087</v>
      </c>
      <c r="H16" t="s">
        <v>1088</v>
      </c>
      <c r="I16" t="s">
        <v>1089</v>
      </c>
      <c r="S16" s="23"/>
      <c r="V16" t="s">
        <v>1063</v>
      </c>
      <c r="W16" t="s">
        <v>1064</v>
      </c>
      <c r="X16" s="23"/>
      <c r="AF16" s="23"/>
    </row>
    <row r="17" spans="1:32">
      <c r="A17" s="27" t="s">
        <v>105</v>
      </c>
      <c r="B17" s="27" t="s">
        <v>975</v>
      </c>
      <c r="C17" s="27" t="str">
        <f t="shared" si="0"/>
        <v>_Úzký ALU rámeček_K12</v>
      </c>
      <c r="D17" t="s">
        <v>1056</v>
      </c>
      <c r="E17" t="s">
        <v>1333</v>
      </c>
      <c r="F17" t="s">
        <v>1058</v>
      </c>
      <c r="G17" t="s">
        <v>1334</v>
      </c>
      <c r="I17" t="s">
        <v>1061</v>
      </c>
      <c r="J17" t="s">
        <v>1337</v>
      </c>
      <c r="S17" s="23"/>
      <c r="V17" t="s">
        <v>1071</v>
      </c>
      <c r="W17" t="s">
        <v>1072</v>
      </c>
      <c r="X17" s="23"/>
      <c r="AF17" s="23"/>
    </row>
    <row r="18" spans="1:32">
      <c r="A18" s="27" t="s">
        <v>106</v>
      </c>
      <c r="B18" s="27" t="s">
        <v>975</v>
      </c>
      <c r="C18" s="27" t="str">
        <f t="shared" si="0"/>
        <v>_Široký ALU rámeček_K12</v>
      </c>
      <c r="D18" t="s">
        <v>1065</v>
      </c>
      <c r="E18" t="s">
        <v>1338</v>
      </c>
      <c r="F18" t="s">
        <v>1067</v>
      </c>
      <c r="G18" t="s">
        <v>1339</v>
      </c>
      <c r="H18" t="s">
        <v>1069</v>
      </c>
      <c r="I18" t="s">
        <v>1340</v>
      </c>
      <c r="S18" s="23"/>
      <c r="V18" t="s">
        <v>1073</v>
      </c>
      <c r="W18" t="s">
        <v>1052</v>
      </c>
      <c r="X18" s="23"/>
      <c r="AF18" s="23"/>
    </row>
    <row r="19" spans="1:32">
      <c r="A19" s="24" t="s">
        <v>105</v>
      </c>
      <c r="B19" s="24" t="s">
        <v>977</v>
      </c>
      <c r="C19" s="24" t="str">
        <f t="shared" si="0"/>
        <v>_Úzký ALU rámeček_Spodní K12</v>
      </c>
      <c r="D19" t="s">
        <v>1076</v>
      </c>
      <c r="E19" t="s">
        <v>1078</v>
      </c>
      <c r="F19" t="s">
        <v>4389</v>
      </c>
      <c r="S19" s="23"/>
      <c r="W19" t="s">
        <v>1074</v>
      </c>
      <c r="X19" s="23"/>
      <c r="AF19" s="23"/>
    </row>
    <row r="20" spans="1:32">
      <c r="A20" s="24" t="s">
        <v>106</v>
      </c>
      <c r="B20" s="24" t="s">
        <v>977</v>
      </c>
      <c r="C20" s="24" t="str">
        <f t="shared" si="0"/>
        <v>_Široký ALU rámeček_Spodní K12</v>
      </c>
      <c r="D20" t="s">
        <v>1090</v>
      </c>
      <c r="E20" t="s">
        <v>1084</v>
      </c>
      <c r="F20" t="s">
        <v>1086</v>
      </c>
      <c r="G20" t="s">
        <v>1088</v>
      </c>
      <c r="S20" s="23"/>
      <c r="W20" t="s">
        <v>1075</v>
      </c>
      <c r="X20" s="23"/>
      <c r="AF20" s="23"/>
    </row>
    <row r="21" spans="1:32">
      <c r="A21" s="27" t="s">
        <v>105</v>
      </c>
      <c r="B21" s="27" t="s">
        <v>978</v>
      </c>
      <c r="C21" s="27" t="str">
        <f t="shared" si="0"/>
        <v>_Úzký ALU rámeček_Kraby</v>
      </c>
      <c r="D21" t="s">
        <v>1056</v>
      </c>
      <c r="E21" t="s">
        <v>1333</v>
      </c>
      <c r="F21" t="s">
        <v>1058</v>
      </c>
      <c r="G21" t="s">
        <v>1334</v>
      </c>
      <c r="I21" t="s">
        <v>1061</v>
      </c>
      <c r="J21" t="s">
        <v>1337</v>
      </c>
      <c r="S21" s="23"/>
      <c r="T21">
        <v>1</v>
      </c>
      <c r="U21" t="s">
        <v>567</v>
      </c>
      <c r="V21" t="s">
        <v>1039</v>
      </c>
      <c r="W21" t="s">
        <v>1040</v>
      </c>
      <c r="X21" s="23"/>
      <c r="AF21" s="23"/>
    </row>
    <row r="22" spans="1:32">
      <c r="A22" s="27" t="s">
        <v>106</v>
      </c>
      <c r="B22" s="27" t="s">
        <v>978</v>
      </c>
      <c r="C22" s="27" t="str">
        <f t="shared" si="0"/>
        <v>_Široký ALU rámeček_Kraby</v>
      </c>
      <c r="D22" t="s">
        <v>1065</v>
      </c>
      <c r="E22" t="s">
        <v>1338</v>
      </c>
      <c r="F22" t="s">
        <v>1067</v>
      </c>
      <c r="G22" t="s">
        <v>1339</v>
      </c>
      <c r="H22" t="s">
        <v>1069</v>
      </c>
      <c r="I22" t="s">
        <v>1340</v>
      </c>
      <c r="S22" s="23"/>
      <c r="V22" t="s">
        <v>1046</v>
      </c>
      <c r="W22" t="s">
        <v>1047</v>
      </c>
      <c r="X22" s="23"/>
      <c r="AF22" s="23"/>
    </row>
    <row r="23" spans="1:32">
      <c r="A23" s="24" t="s">
        <v>105</v>
      </c>
      <c r="B23" s="24" t="s">
        <v>979</v>
      </c>
      <c r="C23" s="24" t="str">
        <f t="shared" si="0"/>
        <v>_Úzký ALU rámeček_Spodní Kraby</v>
      </c>
      <c r="D23" t="s">
        <v>1076</v>
      </c>
      <c r="E23" t="s">
        <v>1078</v>
      </c>
      <c r="F23" t="s">
        <v>4389</v>
      </c>
      <c r="S23" s="23"/>
      <c r="V23" t="s">
        <v>1051</v>
      </c>
      <c r="W23" t="s">
        <v>1052</v>
      </c>
      <c r="X23" s="23"/>
      <c r="AF23" s="23"/>
    </row>
    <row r="24" spans="1:32">
      <c r="A24" s="24" t="s">
        <v>106</v>
      </c>
      <c r="B24" s="24" t="s">
        <v>979</v>
      </c>
      <c r="C24" s="24" t="str">
        <f t="shared" si="0"/>
        <v>_Široký ALU rámeček_Spodní Kraby</v>
      </c>
      <c r="D24" t="s">
        <v>1090</v>
      </c>
      <c r="E24" t="s">
        <v>1084</v>
      </c>
      <c r="F24" t="s">
        <v>1086</v>
      </c>
      <c r="G24" t="s">
        <v>1088</v>
      </c>
      <c r="S24" s="23"/>
      <c r="V24" t="s">
        <v>1052</v>
      </c>
      <c r="W24" t="s">
        <v>1055</v>
      </c>
      <c r="X24" s="23"/>
      <c r="AF24" s="23"/>
    </row>
    <row r="25" spans="1:32">
      <c r="A25" s="27" t="s">
        <v>105</v>
      </c>
      <c r="B25" s="27" t="s">
        <v>980</v>
      </c>
      <c r="C25" s="27" t="str">
        <f t="shared" si="0"/>
        <v>_Úzký ALU rámeček_Kiaro</v>
      </c>
      <c r="D25" t="s">
        <v>1076</v>
      </c>
      <c r="E25" t="s">
        <v>1078</v>
      </c>
      <c r="F25" t="s">
        <v>4389</v>
      </c>
      <c r="S25" s="23"/>
      <c r="V25" t="s">
        <v>1063</v>
      </c>
      <c r="W25" t="s">
        <v>1064</v>
      </c>
      <c r="X25" s="23"/>
      <c r="AF25" s="23"/>
    </row>
    <row r="26" spans="1:32">
      <c r="A26" s="27" t="s">
        <v>106</v>
      </c>
      <c r="B26" s="27" t="s">
        <v>980</v>
      </c>
      <c r="C26" s="27" t="str">
        <f t="shared" si="0"/>
        <v>_Široký ALU rámeček_Kiaro</v>
      </c>
      <c r="D26" t="s">
        <v>1090</v>
      </c>
      <c r="E26" t="s">
        <v>1084</v>
      </c>
      <c r="F26" t="s">
        <v>1086</v>
      </c>
      <c r="G26" t="s">
        <v>1088</v>
      </c>
      <c r="S26" s="23"/>
      <c r="V26" t="s">
        <v>1071</v>
      </c>
      <c r="W26" t="s">
        <v>1072</v>
      </c>
      <c r="X26" s="23"/>
      <c r="AF26" s="23"/>
    </row>
    <row r="27" spans="1:32">
      <c r="A27" s="24" t="s">
        <v>105</v>
      </c>
      <c r="B27" s="24" t="s">
        <v>981</v>
      </c>
      <c r="C27" s="24" t="str">
        <f t="shared" si="0"/>
        <v>_Úzký ALU rámeček_Link</v>
      </c>
      <c r="D27" t="s">
        <v>1076</v>
      </c>
      <c r="E27" t="s">
        <v>1078</v>
      </c>
      <c r="F27" t="s">
        <v>4389</v>
      </c>
      <c r="S27" s="23"/>
      <c r="V27" t="s">
        <v>1073</v>
      </c>
      <c r="W27" t="s">
        <v>1052</v>
      </c>
      <c r="X27" s="23"/>
      <c r="AF27" s="23"/>
    </row>
    <row r="28" spans="1:32">
      <c r="A28" s="24" t="s">
        <v>106</v>
      </c>
      <c r="B28" s="24" t="s">
        <v>981</v>
      </c>
      <c r="C28" s="24" t="str">
        <f t="shared" si="0"/>
        <v>_Široký ALU rámeček_Link</v>
      </c>
      <c r="D28" t="s">
        <v>1090</v>
      </c>
      <c r="E28" t="s">
        <v>1084</v>
      </c>
      <c r="F28" t="s">
        <v>1086</v>
      </c>
      <c r="G28" t="s">
        <v>1088</v>
      </c>
      <c r="S28" s="23"/>
      <c r="W28" t="s">
        <v>1074</v>
      </c>
      <c r="X28" s="23"/>
      <c r="AF28" s="23"/>
    </row>
    <row r="29" spans="1:32">
      <c r="A29" s="27" t="s">
        <v>105</v>
      </c>
      <c r="B29" s="27" t="s">
        <v>982</v>
      </c>
      <c r="C29" s="27" t="str">
        <f t="shared" si="0"/>
        <v>_Úzký ALU rámeček_Automatická vzpěra</v>
      </c>
      <c r="D29" t="s">
        <v>1056</v>
      </c>
      <c r="E29" t="s">
        <v>1333</v>
      </c>
      <c r="F29" t="s">
        <v>1058</v>
      </c>
      <c r="G29" t="s">
        <v>1334</v>
      </c>
      <c r="I29" t="s">
        <v>1061</v>
      </c>
      <c r="J29" t="s">
        <v>1337</v>
      </c>
      <c r="S29" s="23"/>
      <c r="W29" t="s">
        <v>1075</v>
      </c>
      <c r="X29" s="23"/>
      <c r="AF29" s="23"/>
    </row>
    <row r="30" spans="1:32">
      <c r="A30" s="27" t="s">
        <v>106</v>
      </c>
      <c r="B30" s="27" t="s">
        <v>982</v>
      </c>
      <c r="C30" s="27" t="str">
        <f t="shared" si="0"/>
        <v>_Široký ALU rámeček_Automatická vzpěra</v>
      </c>
      <c r="D30" t="s">
        <v>1065</v>
      </c>
      <c r="E30" t="s">
        <v>1338</v>
      </c>
      <c r="F30" t="s">
        <v>1067</v>
      </c>
      <c r="G30" t="s">
        <v>1339</v>
      </c>
      <c r="H30" t="s">
        <v>1069</v>
      </c>
      <c r="I30" t="s">
        <v>1340</v>
      </c>
      <c r="S30" s="23"/>
      <c r="T30">
        <v>2</v>
      </c>
      <c r="U30" t="s">
        <v>567</v>
      </c>
      <c r="V30" t="s">
        <v>1039</v>
      </c>
      <c r="W30" t="s">
        <v>1040</v>
      </c>
      <c r="X30" s="23"/>
      <c r="AF30" s="23"/>
    </row>
    <row r="31" spans="1:32">
      <c r="A31" s="24" t="s">
        <v>105</v>
      </c>
      <c r="B31" s="24" t="s">
        <v>983</v>
      </c>
      <c r="C31" s="24" t="str">
        <f t="shared" si="0"/>
        <v>_Úzký ALU rámeček_Polohovací vzpěra</v>
      </c>
      <c r="D31" t="s">
        <v>1056</v>
      </c>
      <c r="E31" t="s">
        <v>1333</v>
      </c>
      <c r="F31" t="s">
        <v>1058</v>
      </c>
      <c r="G31" t="s">
        <v>1334</v>
      </c>
      <c r="I31" t="s">
        <v>1061</v>
      </c>
      <c r="J31" t="s">
        <v>1337</v>
      </c>
      <c r="S31" s="23"/>
      <c r="V31" t="s">
        <v>1046</v>
      </c>
      <c r="W31" t="s">
        <v>1047</v>
      </c>
      <c r="X31" s="23"/>
      <c r="AF31" s="23"/>
    </row>
    <row r="32" spans="1:32">
      <c r="A32" s="24" t="s">
        <v>106</v>
      </c>
      <c r="B32" s="24" t="s">
        <v>983</v>
      </c>
      <c r="C32" s="24" t="str">
        <f t="shared" si="0"/>
        <v>_Široký ALU rámeček_Polohovací vzpěra</v>
      </c>
      <c r="D32" t="s">
        <v>1065</v>
      </c>
      <c r="E32" t="s">
        <v>1338</v>
      </c>
      <c r="F32" t="s">
        <v>1067</v>
      </c>
      <c r="G32" t="s">
        <v>1339</v>
      </c>
      <c r="H32" t="s">
        <v>1069</v>
      </c>
      <c r="I32" t="s">
        <v>1340</v>
      </c>
      <c r="S32" s="23"/>
      <c r="V32" t="s">
        <v>1051</v>
      </c>
      <c r="W32" t="s">
        <v>1052</v>
      </c>
      <c r="X32" s="23"/>
      <c r="AF32" s="23"/>
    </row>
    <row r="33" spans="1:32">
      <c r="A33" s="27" t="s">
        <v>105</v>
      </c>
      <c r="B33" s="27" t="s">
        <v>985</v>
      </c>
      <c r="C33" s="27" t="str">
        <f t="shared" si="0"/>
        <v>_Úzký ALU rámeček_LiftMini</v>
      </c>
      <c r="D33" t="s">
        <v>1076</v>
      </c>
      <c r="E33" t="s">
        <v>1078</v>
      </c>
      <c r="F33" t="s">
        <v>4389</v>
      </c>
      <c r="S33" s="23"/>
      <c r="V33" t="s">
        <v>1052</v>
      </c>
      <c r="W33" t="s">
        <v>1055</v>
      </c>
      <c r="X33" s="23"/>
      <c r="AF33" s="23"/>
    </row>
    <row r="34" spans="1:32">
      <c r="A34" s="27" t="s">
        <v>106</v>
      </c>
      <c r="B34" s="27" t="s">
        <v>985</v>
      </c>
      <c r="C34" s="27" t="str">
        <f t="shared" si="0"/>
        <v>_Široký ALU rámeček_LiftMini</v>
      </c>
      <c r="D34" t="s">
        <v>1090</v>
      </c>
      <c r="E34" t="s">
        <v>1084</v>
      </c>
      <c r="F34" t="s">
        <v>1086</v>
      </c>
      <c r="G34" t="s">
        <v>1088</v>
      </c>
      <c r="S34" s="23"/>
      <c r="V34" t="s">
        <v>1063</v>
      </c>
      <c r="W34" t="s">
        <v>1064</v>
      </c>
      <c r="X34" s="23"/>
      <c r="AF34" s="23"/>
    </row>
    <row r="35" spans="1:32">
      <c r="V35" t="s">
        <v>1071</v>
      </c>
      <c r="W35" t="s">
        <v>1072</v>
      </c>
    </row>
    <row r="36" spans="1:32">
      <c r="A36" t="s">
        <v>1091</v>
      </c>
      <c r="V36" t="s">
        <v>1073</v>
      </c>
      <c r="W36" t="s">
        <v>1052</v>
      </c>
    </row>
    <row r="37" spans="1:32">
      <c r="A37" t="s">
        <v>1092</v>
      </c>
      <c r="W37" t="s">
        <v>1074</v>
      </c>
    </row>
    <row r="38" spans="1:32">
      <c r="W38" t="s">
        <v>1075</v>
      </c>
    </row>
    <row r="39" spans="1:32">
      <c r="T39">
        <v>1</v>
      </c>
      <c r="U39" t="s">
        <v>1093</v>
      </c>
      <c r="V39" t="s">
        <v>1039</v>
      </c>
      <c r="W39" t="s">
        <v>1040</v>
      </c>
    </row>
    <row r="40" spans="1:32">
      <c r="V40" t="s">
        <v>1046</v>
      </c>
      <c r="W40" t="s">
        <v>1047</v>
      </c>
    </row>
    <row r="41" spans="1:32">
      <c r="V41" t="s">
        <v>1051</v>
      </c>
      <c r="W41" t="s">
        <v>1052</v>
      </c>
    </row>
    <row r="42" spans="1:32">
      <c r="V42" t="s">
        <v>1052</v>
      </c>
      <c r="W42" t="s">
        <v>1055</v>
      </c>
    </row>
    <row r="43" spans="1:32">
      <c r="V43" t="s">
        <v>1063</v>
      </c>
      <c r="W43" t="s">
        <v>1064</v>
      </c>
    </row>
    <row r="44" spans="1:32">
      <c r="V44" t="s">
        <v>1071</v>
      </c>
      <c r="W44" t="s">
        <v>1072</v>
      </c>
    </row>
    <row r="45" spans="1:32">
      <c r="V45" t="s">
        <v>1073</v>
      </c>
      <c r="W45" t="s">
        <v>1052</v>
      </c>
    </row>
    <row r="46" spans="1:32">
      <c r="W46" t="s">
        <v>1074</v>
      </c>
    </row>
    <row r="47" spans="1:32">
      <c r="W47" t="s">
        <v>1075</v>
      </c>
    </row>
    <row r="48" spans="1:32">
      <c r="T48">
        <v>2</v>
      </c>
      <c r="U48" t="s">
        <v>1093</v>
      </c>
      <c r="V48" t="s">
        <v>1039</v>
      </c>
      <c r="W48" t="s">
        <v>1040</v>
      </c>
    </row>
    <row r="49" spans="1:32">
      <c r="V49" t="s">
        <v>1046</v>
      </c>
      <c r="W49" t="s">
        <v>1047</v>
      </c>
    </row>
    <row r="50" spans="1:32">
      <c r="V50" t="s">
        <v>1051</v>
      </c>
      <c r="W50" t="s">
        <v>1052</v>
      </c>
    </row>
    <row r="51" spans="1:32">
      <c r="V51" t="s">
        <v>1052</v>
      </c>
      <c r="W51" t="s">
        <v>1055</v>
      </c>
    </row>
    <row r="52" spans="1:32">
      <c r="V52" t="s">
        <v>1063</v>
      </c>
      <c r="W52" t="s">
        <v>1064</v>
      </c>
    </row>
    <row r="53" spans="1:32">
      <c r="V53" t="s">
        <v>1071</v>
      </c>
      <c r="W53" t="s">
        <v>1072</v>
      </c>
    </row>
    <row r="54" spans="1:32">
      <c r="V54" t="s">
        <v>1073</v>
      </c>
      <c r="W54" t="s">
        <v>1052</v>
      </c>
    </row>
    <row r="55" spans="1:32">
      <c r="W55" t="s">
        <v>1074</v>
      </c>
    </row>
    <row r="56" spans="1:32">
      <c r="W56" t="s">
        <v>1075</v>
      </c>
    </row>
    <row r="57" spans="1:32">
      <c r="A57" s="24" t="s">
        <v>456</v>
      </c>
      <c r="B57" s="24" t="s">
        <v>1105</v>
      </c>
      <c r="C57" s="27" t="s">
        <v>456</v>
      </c>
      <c r="D57" s="27" t="s">
        <v>1105</v>
      </c>
      <c r="E57" s="24" t="s">
        <v>456</v>
      </c>
      <c r="F57" s="24" t="s">
        <v>1105</v>
      </c>
      <c r="G57" s="27" t="s">
        <v>456</v>
      </c>
      <c r="H57" s="27" t="s">
        <v>1105</v>
      </c>
      <c r="I57" s="24" t="s">
        <v>456</v>
      </c>
      <c r="J57" s="24" t="s">
        <v>1105</v>
      </c>
      <c r="K57" s="27" t="s">
        <v>456</v>
      </c>
      <c r="L57" s="27" t="s">
        <v>1105</v>
      </c>
      <c r="M57" s="24" t="s">
        <v>456</v>
      </c>
      <c r="N57" s="24" t="s">
        <v>1105</v>
      </c>
      <c r="O57" s="27" t="s">
        <v>456</v>
      </c>
      <c r="P57" s="27" t="s">
        <v>1105</v>
      </c>
      <c r="Q57" s="24" t="s">
        <v>456</v>
      </c>
      <c r="R57" s="24" t="s">
        <v>1105</v>
      </c>
      <c r="S57" s="27" t="s">
        <v>456</v>
      </c>
      <c r="T57" s="27" t="s">
        <v>1105</v>
      </c>
      <c r="U57" s="24" t="s">
        <v>456</v>
      </c>
      <c r="V57" s="24" t="s">
        <v>1105</v>
      </c>
      <c r="W57" s="27" t="s">
        <v>456</v>
      </c>
      <c r="X57" s="27" t="s">
        <v>1105</v>
      </c>
      <c r="Y57" s="24" t="s">
        <v>456</v>
      </c>
      <c r="Z57" s="24" t="s">
        <v>1105</v>
      </c>
      <c r="AA57" s="27" t="s">
        <v>456</v>
      </c>
      <c r="AB57" s="27" t="s">
        <v>1105</v>
      </c>
      <c r="AC57" s="24" t="s">
        <v>456</v>
      </c>
      <c r="AD57" s="24" t="s">
        <v>1105</v>
      </c>
      <c r="AE57" s="27" t="s">
        <v>456</v>
      </c>
      <c r="AF57" s="27" t="s">
        <v>1105</v>
      </c>
    </row>
    <row r="58" spans="1:32">
      <c r="A58" s="24" t="s">
        <v>566</v>
      </c>
      <c r="B58" s="24" t="s">
        <v>566</v>
      </c>
      <c r="C58" s="27" t="s">
        <v>960</v>
      </c>
      <c r="D58" s="27" t="s">
        <v>960</v>
      </c>
      <c r="E58" s="24" t="s">
        <v>964</v>
      </c>
      <c r="F58" s="24" t="s">
        <v>964</v>
      </c>
      <c r="G58" s="27" t="s">
        <v>967</v>
      </c>
      <c r="H58" s="27" t="s">
        <v>967</v>
      </c>
      <c r="I58" s="24" t="s">
        <v>974</v>
      </c>
      <c r="J58" s="24" t="s">
        <v>974</v>
      </c>
      <c r="K58" s="27" t="s">
        <v>972</v>
      </c>
      <c r="L58" s="27" t="s">
        <v>972</v>
      </c>
      <c r="M58" s="24" t="s">
        <v>969</v>
      </c>
      <c r="N58" s="24" t="s">
        <v>969</v>
      </c>
      <c r="O58" s="27" t="s">
        <v>975</v>
      </c>
      <c r="P58" s="27" t="s">
        <v>975</v>
      </c>
      <c r="Q58" s="24" t="s">
        <v>977</v>
      </c>
      <c r="R58" s="24" t="s">
        <v>977</v>
      </c>
      <c r="S58" s="27" t="s">
        <v>978</v>
      </c>
      <c r="T58" s="27" t="s">
        <v>978</v>
      </c>
      <c r="U58" s="24" t="s">
        <v>979</v>
      </c>
      <c r="V58" s="24" t="s">
        <v>979</v>
      </c>
      <c r="W58" s="27" t="s">
        <v>980</v>
      </c>
      <c r="X58" s="27" t="s">
        <v>980</v>
      </c>
      <c r="Y58" s="24" t="s">
        <v>981</v>
      </c>
      <c r="Z58" s="24" t="s">
        <v>981</v>
      </c>
      <c r="AA58" s="27" t="s">
        <v>982</v>
      </c>
      <c r="AB58" s="27" t="s">
        <v>982</v>
      </c>
      <c r="AC58" s="24" t="s">
        <v>983</v>
      </c>
      <c r="AD58" s="24" t="s">
        <v>983</v>
      </c>
      <c r="AE58" s="27" t="s">
        <v>985</v>
      </c>
      <c r="AF58" s="27" t="s">
        <v>985</v>
      </c>
    </row>
    <row r="59" spans="1:32">
      <c r="A59" s="28" t="s">
        <v>1033</v>
      </c>
      <c r="B59" s="28" t="s">
        <v>1041</v>
      </c>
      <c r="C59" s="28" t="s">
        <v>1048</v>
      </c>
      <c r="D59" s="28" t="s">
        <v>1053</v>
      </c>
      <c r="E59" s="28" t="s">
        <v>1056</v>
      </c>
      <c r="F59" s="28" t="s">
        <v>1065</v>
      </c>
      <c r="G59" s="28" t="s">
        <v>1056</v>
      </c>
      <c r="H59" s="28" t="s">
        <v>1065</v>
      </c>
      <c r="I59" s="28" t="s">
        <v>1056</v>
      </c>
      <c r="J59" s="28" t="s">
        <v>1065</v>
      </c>
      <c r="K59" s="28" t="s">
        <v>1076</v>
      </c>
      <c r="L59" s="28" t="s">
        <v>1084</v>
      </c>
      <c r="M59" s="28" t="s">
        <v>1076</v>
      </c>
      <c r="N59" s="28" t="s">
        <v>1084</v>
      </c>
      <c r="O59" s="28" t="s">
        <v>1056</v>
      </c>
      <c r="P59" s="28" t="s">
        <v>1065</v>
      </c>
      <c r="Q59" t="s">
        <v>1076</v>
      </c>
      <c r="R59" t="s">
        <v>1090</v>
      </c>
      <c r="S59" t="s">
        <v>1056</v>
      </c>
      <c r="T59" t="s">
        <v>1065</v>
      </c>
      <c r="U59" t="s">
        <v>1076</v>
      </c>
      <c r="V59" t="s">
        <v>1090</v>
      </c>
      <c r="W59" t="s">
        <v>1076</v>
      </c>
      <c r="X59" t="s">
        <v>1090</v>
      </c>
      <c r="Y59" t="s">
        <v>1076</v>
      </c>
      <c r="Z59" t="s">
        <v>1090</v>
      </c>
      <c r="AA59" t="s">
        <v>1056</v>
      </c>
      <c r="AB59" t="s">
        <v>1065</v>
      </c>
      <c r="AC59" t="s">
        <v>1056</v>
      </c>
      <c r="AD59" t="s">
        <v>1065</v>
      </c>
      <c r="AE59" t="s">
        <v>1076</v>
      </c>
      <c r="AF59" t="s">
        <v>1090</v>
      </c>
    </row>
    <row r="60" spans="1:32">
      <c r="A60" t="s">
        <v>1034</v>
      </c>
      <c r="B60" t="s">
        <v>1034</v>
      </c>
      <c r="C60" t="s">
        <v>1034</v>
      </c>
      <c r="D60" t="s">
        <v>1034</v>
      </c>
      <c r="E60" s="28" t="s">
        <v>1333</v>
      </c>
      <c r="F60" s="28" t="s">
        <v>1338</v>
      </c>
      <c r="G60" s="28" t="s">
        <v>1333</v>
      </c>
      <c r="H60" s="28" t="s">
        <v>1338</v>
      </c>
      <c r="I60" s="28" t="s">
        <v>1333</v>
      </c>
      <c r="J60" s="28" t="s">
        <v>1338</v>
      </c>
      <c r="K60" s="28" t="s">
        <v>1077</v>
      </c>
      <c r="L60" s="28" t="s">
        <v>1085</v>
      </c>
      <c r="M60" s="28" t="s">
        <v>1077</v>
      </c>
      <c r="N60" s="28" t="s">
        <v>1085</v>
      </c>
      <c r="O60" s="28" t="s">
        <v>1057</v>
      </c>
      <c r="P60" s="28" t="s">
        <v>1066</v>
      </c>
      <c r="Q60" t="s">
        <v>1078</v>
      </c>
      <c r="R60" t="s">
        <v>1084</v>
      </c>
      <c r="S60" t="s">
        <v>1057</v>
      </c>
      <c r="T60" t="s">
        <v>1066</v>
      </c>
      <c r="U60" t="s">
        <v>1078</v>
      </c>
      <c r="V60" t="s">
        <v>1084</v>
      </c>
      <c r="W60" t="s">
        <v>1078</v>
      </c>
      <c r="X60" t="s">
        <v>1084</v>
      </c>
      <c r="Y60" t="s">
        <v>1078</v>
      </c>
      <c r="Z60" t="s">
        <v>1084</v>
      </c>
      <c r="AA60" t="s">
        <v>1057</v>
      </c>
      <c r="AB60" t="s">
        <v>1066</v>
      </c>
      <c r="AC60" t="s">
        <v>1057</v>
      </c>
      <c r="AD60" t="s">
        <v>1066</v>
      </c>
      <c r="AE60" t="s">
        <v>1078</v>
      </c>
      <c r="AF60" t="s">
        <v>1084</v>
      </c>
    </row>
    <row r="61" spans="1:32">
      <c r="A61" t="s">
        <v>1035</v>
      </c>
      <c r="B61" t="s">
        <v>1042</v>
      </c>
      <c r="C61" t="s">
        <v>1049</v>
      </c>
      <c r="D61" t="s">
        <v>1054</v>
      </c>
      <c r="E61" s="28" t="s">
        <v>1058</v>
      </c>
      <c r="F61" s="28" t="s">
        <v>1067</v>
      </c>
      <c r="G61" s="28" t="s">
        <v>1058</v>
      </c>
      <c r="H61" s="28" t="s">
        <v>1067</v>
      </c>
      <c r="I61" s="28" t="s">
        <v>1058</v>
      </c>
      <c r="J61" s="28" t="s">
        <v>1067</v>
      </c>
      <c r="K61" s="28" t="s">
        <v>1078</v>
      </c>
      <c r="L61" s="28" t="s">
        <v>1086</v>
      </c>
      <c r="M61" s="28" t="s">
        <v>1078</v>
      </c>
      <c r="N61" s="28" t="s">
        <v>1086</v>
      </c>
      <c r="O61" s="28" t="s">
        <v>1058</v>
      </c>
      <c r="P61" s="28" t="s">
        <v>1067</v>
      </c>
      <c r="Q61" t="s">
        <v>4388</v>
      </c>
      <c r="R61" t="s">
        <v>1086</v>
      </c>
      <c r="S61" t="s">
        <v>1058</v>
      </c>
      <c r="T61" t="s">
        <v>1067</v>
      </c>
      <c r="U61" t="s">
        <v>4389</v>
      </c>
      <c r="V61" t="s">
        <v>1086</v>
      </c>
      <c r="W61" t="s">
        <v>4389</v>
      </c>
      <c r="X61" t="s">
        <v>1086</v>
      </c>
      <c r="Y61" t="s">
        <v>4389</v>
      </c>
      <c r="Z61" t="s">
        <v>1086</v>
      </c>
      <c r="AA61" t="s">
        <v>1058</v>
      </c>
      <c r="AB61" t="s">
        <v>1067</v>
      </c>
      <c r="AC61" t="s">
        <v>1058</v>
      </c>
      <c r="AD61" t="s">
        <v>1067</v>
      </c>
      <c r="AE61" t="s">
        <v>4389</v>
      </c>
      <c r="AF61" t="s">
        <v>1086</v>
      </c>
    </row>
    <row r="62" spans="1:32">
      <c r="A62" t="s">
        <v>1036</v>
      </c>
      <c r="B62" t="s">
        <v>1043</v>
      </c>
      <c r="C62" t="s">
        <v>1050</v>
      </c>
      <c r="D62" t="s">
        <v>1045</v>
      </c>
      <c r="E62" s="28" t="s">
        <v>1334</v>
      </c>
      <c r="F62" s="28" t="s">
        <v>1339</v>
      </c>
      <c r="G62" s="28" t="s">
        <v>1334</v>
      </c>
      <c r="H62" s="28" t="s">
        <v>1339</v>
      </c>
      <c r="I62" s="28" t="s">
        <v>1334</v>
      </c>
      <c r="J62" s="28" t="s">
        <v>1339</v>
      </c>
      <c r="K62" s="28" t="s">
        <v>1079</v>
      </c>
      <c r="L62" s="28" t="s">
        <v>1087</v>
      </c>
      <c r="M62" s="28" t="s">
        <v>1079</v>
      </c>
      <c r="N62" s="28" t="s">
        <v>1087</v>
      </c>
      <c r="O62" s="28" t="s">
        <v>1059</v>
      </c>
      <c r="P62" s="28" t="s">
        <v>1068</v>
      </c>
      <c r="R62" t="s">
        <v>1088</v>
      </c>
      <c r="S62" t="s">
        <v>1059</v>
      </c>
      <c r="T62" t="s">
        <v>1068</v>
      </c>
      <c r="V62" t="s">
        <v>1088</v>
      </c>
      <c r="X62" t="s">
        <v>1088</v>
      </c>
      <c r="Z62" t="s">
        <v>1088</v>
      </c>
      <c r="AA62" t="s">
        <v>1059</v>
      </c>
      <c r="AB62" t="s">
        <v>1068</v>
      </c>
      <c r="AC62" t="s">
        <v>1059</v>
      </c>
      <c r="AD62" t="s">
        <v>1068</v>
      </c>
      <c r="AF62" t="s">
        <v>1088</v>
      </c>
    </row>
    <row r="63" spans="1:32">
      <c r="A63" t="s">
        <v>1037</v>
      </c>
      <c r="B63" t="s">
        <v>1044</v>
      </c>
      <c r="D63" t="s">
        <v>1050</v>
      </c>
      <c r="E63" s="28" t="s">
        <v>1335</v>
      </c>
      <c r="F63" s="28" t="s">
        <v>1069</v>
      </c>
      <c r="G63" s="28" t="s">
        <v>1335</v>
      </c>
      <c r="H63" s="28" t="s">
        <v>1069</v>
      </c>
      <c r="I63" s="28" t="s">
        <v>1335</v>
      </c>
      <c r="J63" s="28" t="s">
        <v>1069</v>
      </c>
      <c r="K63" s="28" t="s">
        <v>1080</v>
      </c>
      <c r="L63" s="28" t="s">
        <v>4389</v>
      </c>
      <c r="M63" s="28" t="s">
        <v>1080</v>
      </c>
      <c r="N63" s="28" t="s">
        <v>1088</v>
      </c>
      <c r="O63" s="28" t="s">
        <v>1060</v>
      </c>
      <c r="P63" s="28" t="s">
        <v>1069</v>
      </c>
      <c r="S63" t="s">
        <v>1060</v>
      </c>
      <c r="T63" t="s">
        <v>1069</v>
      </c>
      <c r="AA63" t="s">
        <v>1060</v>
      </c>
      <c r="AB63" t="s">
        <v>1069</v>
      </c>
      <c r="AC63" t="s">
        <v>1060</v>
      </c>
      <c r="AD63" t="s">
        <v>1069</v>
      </c>
    </row>
    <row r="64" spans="1:32">
      <c r="A64" t="s">
        <v>1038</v>
      </c>
      <c r="B64" t="s">
        <v>1045</v>
      </c>
      <c r="E64" s="28" t="s">
        <v>1061</v>
      </c>
      <c r="F64" s="28" t="s">
        <v>1340</v>
      </c>
      <c r="G64" s="28" t="s">
        <v>1061</v>
      </c>
      <c r="H64" s="28" t="s">
        <v>1340</v>
      </c>
      <c r="I64" s="28" t="s">
        <v>1061</v>
      </c>
      <c r="J64" s="28" t="s">
        <v>1340</v>
      </c>
      <c r="K64" s="28" t="s">
        <v>4389</v>
      </c>
      <c r="L64" s="28" t="s">
        <v>1089</v>
      </c>
      <c r="M64" s="28" t="s">
        <v>4389</v>
      </c>
      <c r="N64" s="28" t="s">
        <v>1089</v>
      </c>
      <c r="O64" s="28" t="s">
        <v>1061</v>
      </c>
      <c r="P64" s="28" t="s">
        <v>1070</v>
      </c>
      <c r="S64" t="s">
        <v>1061</v>
      </c>
      <c r="T64" t="s">
        <v>1070</v>
      </c>
      <c r="AA64" t="s">
        <v>1061</v>
      </c>
      <c r="AB64" t="s">
        <v>1070</v>
      </c>
      <c r="AC64" t="s">
        <v>1061</v>
      </c>
      <c r="AD64" t="s">
        <v>1070</v>
      </c>
    </row>
    <row r="65" spans="1:29">
      <c r="E65" s="28" t="s">
        <v>1337</v>
      </c>
      <c r="G65" s="28" t="s">
        <v>1337</v>
      </c>
      <c r="I65" s="28" t="s">
        <v>1337</v>
      </c>
      <c r="K65" s="28" t="s">
        <v>1083</v>
      </c>
      <c r="M65" s="28" t="s">
        <v>1083</v>
      </c>
      <c r="O65" s="28" t="s">
        <v>1062</v>
      </c>
      <c r="S65" t="s">
        <v>1062</v>
      </c>
      <c r="AA65" t="s">
        <v>1062</v>
      </c>
      <c r="AC65" t="s">
        <v>1062</v>
      </c>
    </row>
    <row r="66" spans="1:29">
      <c r="K66" s="28"/>
      <c r="S66" t="s">
        <v>1062</v>
      </c>
      <c r="AA66" t="s">
        <v>1062</v>
      </c>
      <c r="AC66" t="s">
        <v>1062</v>
      </c>
    </row>
    <row r="74" spans="1:29">
      <c r="A74" s="244" t="s">
        <v>3655</v>
      </c>
      <c r="B74" s="244" t="s">
        <v>3656</v>
      </c>
      <c r="C74" s="244" t="s">
        <v>3657</v>
      </c>
      <c r="E74" s="244"/>
      <c r="F74" s="244"/>
      <c r="G74" s="244"/>
      <c r="H74" s="244"/>
      <c r="J74" s="244"/>
    </row>
    <row r="75" spans="1:29">
      <c r="A75" s="244" t="str">
        <f>'Translate&amp;Prices&amp;Logo'!B166</f>
        <v>siatka alu złota - oko 10x6x1 mm</v>
      </c>
      <c r="B75" s="244" t="str">
        <f>'Translate&amp;Prices&amp;Logo'!B166</f>
        <v>siatka alu złota - oko 10x6x1 mm</v>
      </c>
      <c r="C75" s="244" t="str">
        <f>'Translate&amp;Prices&amp;Logo'!B168</f>
        <v>siatka stalowa biała - oko 8x4x1 mm</v>
      </c>
      <c r="E75" s="244"/>
      <c r="F75" s="244"/>
      <c r="G75" s="244"/>
      <c r="H75" s="244"/>
      <c r="J75" s="244"/>
    </row>
    <row r="76" spans="1:29">
      <c r="A76" s="244" t="str">
        <f>'Translate&amp;Prices&amp;Logo'!B169</f>
        <v>siatka elox - oko 10x6x1 mm</v>
      </c>
      <c r="B76" s="244" t="str">
        <f>'Translate&amp;Prices&amp;Logo'!B169</f>
        <v>siatka elox - oko 10x6x1 mm</v>
      </c>
      <c r="D76" s="244"/>
      <c r="F76" s="244"/>
      <c r="G76" s="244"/>
    </row>
    <row r="77" spans="1:29">
      <c r="B77" s="244" t="str">
        <f>'Translate&amp;Prices&amp;Logo'!B167</f>
        <v>siatka stal czarny mat RAL 9005– oko 8x4x1 mm</v>
      </c>
      <c r="D77" s="244"/>
      <c r="F77" s="244"/>
      <c r="G77" s="244"/>
    </row>
    <row r="80" spans="1:29">
      <c r="A80" t="s">
        <v>2292</v>
      </c>
      <c r="H80" s="244"/>
    </row>
    <row r="81" spans="1:9">
      <c r="A81" s="244" t="str">
        <f>'Translate&amp;Prices&amp;Logo'!$B$13</f>
        <v>BRW złota- maksymalna zalecana długość profilu 2500 mm</v>
      </c>
      <c r="B81" t="s">
        <v>3655</v>
      </c>
      <c r="C81" s="430"/>
      <c r="D81" s="430"/>
      <c r="E81" s="430"/>
      <c r="F81" s="430"/>
      <c r="G81" s="430"/>
      <c r="H81" s="430"/>
      <c r="I81" s="430"/>
    </row>
    <row r="82" spans="1:9">
      <c r="A82" s="244" t="str">
        <f>'Translate&amp;Prices&amp;Logo'!$B$6</f>
        <v>BRW (elox.) - maksymalna zalecana długość profilu 2500 mm</v>
      </c>
      <c r="B82" t="s">
        <v>3656</v>
      </c>
      <c r="C82" s="430"/>
      <c r="D82" s="431"/>
      <c r="E82" s="431"/>
      <c r="F82" s="431"/>
      <c r="G82" s="431"/>
      <c r="H82" s="431"/>
      <c r="I82" s="431"/>
    </row>
    <row r="83" spans="1:9">
      <c r="A83" s="244" t="str">
        <f>'Translate&amp;Prices&amp;Logo'!$B$12</f>
        <v>BRW Czarny matowy - maksymalna zalecana długość profilu 2500 mm</v>
      </c>
      <c r="B83" t="s">
        <v>3656</v>
      </c>
      <c r="C83" s="430"/>
      <c r="D83" s="431"/>
      <c r="E83" s="431"/>
      <c r="F83" s="431"/>
      <c r="G83" s="431"/>
      <c r="H83" s="431"/>
      <c r="I83" s="431"/>
    </row>
    <row r="84" spans="1:9">
      <c r="A84" t="str">
        <f>'Translate&amp;Prices&amp;Logo'!$B$9</f>
        <v>BRW bialy połysk RAL 9003 - maksymalna zalecana długość profilu 2500 mm</v>
      </c>
      <c r="B84" s="244" t="s">
        <v>3657</v>
      </c>
      <c r="C84" s="430"/>
      <c r="D84" s="431"/>
      <c r="E84" s="431"/>
      <c r="F84" s="431"/>
      <c r="G84" s="431"/>
      <c r="H84" s="431"/>
      <c r="I84" s="431"/>
    </row>
    <row r="85" spans="1:9">
      <c r="A85" s="244" t="str">
        <f>'Translate&amp;Prices&amp;Logo'!$B$8</f>
        <v>BRW bialy matowy RAL 9003 - maksymalna zalecana długość profilu 2500 mm</v>
      </c>
      <c r="B85" s="244" t="s">
        <v>3657</v>
      </c>
      <c r="C85" s="430"/>
      <c r="D85" s="431"/>
      <c r="E85" s="431"/>
      <c r="F85" s="431"/>
      <c r="G85" s="431"/>
      <c r="H85" s="431"/>
      <c r="I85" s="431"/>
    </row>
    <row r="86" spans="1:9">
      <c r="A86" s="245" t="str">
        <f>'Translate&amp;Prices&amp;Logo'!$B$31</f>
        <v>Vivaro złota - maksymalna zalecana zalecana długość profilu 2150 mm</v>
      </c>
      <c r="B86" t="s">
        <v>3655</v>
      </c>
      <c r="H86" s="244"/>
    </row>
    <row r="87" spans="1:9">
      <c r="A87" s="244" t="str">
        <f>'Translate&amp;Prices&amp;Logo'!$B$43</f>
        <v>Vivaro (elox.) - maksymalna zalecana zalecana długość profilu 2500 mm</v>
      </c>
      <c r="B87" t="s">
        <v>3656</v>
      </c>
      <c r="H87" s="244"/>
    </row>
    <row r="88" spans="1:9">
      <c r="A88" s="244" t="str">
        <f>'Translate&amp;Prices&amp;Logo'!$B$44</f>
        <v>Vivaro czarny matowy - maksymalna zalecana zalecana długość profilu 2500 mm</v>
      </c>
      <c r="B88" t="s">
        <v>3656</v>
      </c>
      <c r="H88" s="244"/>
    </row>
    <row r="89" spans="1:9">
      <c r="A89" s="244" t="str">
        <f>'Translate&amp;Prices&amp;Logo'!$B$47</f>
        <v>Vivaro biały matowy RAL 9003 - maksymalna zalecana zalecana długość profilu 2500 mm</v>
      </c>
      <c r="B89" s="244" t="s">
        <v>3657</v>
      </c>
      <c r="H89" s="244"/>
    </row>
    <row r="90" spans="1:9">
      <c r="A90" t="str">
        <f>'Translate&amp;Prices&amp;Logo'!$B$48</f>
        <v>Vivaro biały połysk RAL 9003 - maksymalna zalecana zalecana długość profilu 2500 mm</v>
      </c>
      <c r="B90" s="244" t="s">
        <v>3657</v>
      </c>
    </row>
    <row r="94" spans="1:9">
      <c r="A94" t="s">
        <v>989</v>
      </c>
      <c r="B94" t="s">
        <v>993</v>
      </c>
      <c r="C94" t="s">
        <v>988</v>
      </c>
      <c r="D94" t="s">
        <v>994</v>
      </c>
      <c r="E94" t="s">
        <v>933</v>
      </c>
      <c r="F94" t="s">
        <v>995</v>
      </c>
    </row>
    <row r="95" spans="1:9">
      <c r="A95" t="s">
        <v>999</v>
      </c>
      <c r="B95" t="s">
        <v>1000</v>
      </c>
      <c r="C95" t="s">
        <v>1001</v>
      </c>
      <c r="D95" t="s">
        <v>1002</v>
      </c>
      <c r="E95" t="s">
        <v>1003</v>
      </c>
      <c r="F95" t="s">
        <v>1004</v>
      </c>
    </row>
    <row r="96" spans="1:9">
      <c r="A96" t="str">
        <f>'Translate&amp;Prices&amp;Logo'!$B$101</f>
        <v>Czyste</v>
      </c>
      <c r="B96" t="str">
        <f>'Translate&amp;Prices&amp;Logo'!$B$117</f>
        <v xml:space="preserve">Lustro </v>
      </c>
      <c r="C96" t="str">
        <f>'Translate&amp;Prices&amp;Logo'!$B$101</f>
        <v>Czyste</v>
      </c>
      <c r="D96" t="str">
        <f>'Translate&amp;Prices&amp;Logo'!$B$629</f>
        <v>Nieprawidłowa kombinacja</v>
      </c>
      <c r="E96" t="str">
        <f>'Translate&amp;Prices&amp;Logo'!$B$117</f>
        <v xml:space="preserve">Lustro </v>
      </c>
      <c r="F96" t="str">
        <f>'Translate&amp;Prices&amp;Logo'!$B$117</f>
        <v xml:space="preserve">Lustro </v>
      </c>
    </row>
    <row r="97" spans="1:6">
      <c r="A97" t="str">
        <f>'Translate&amp;Prices&amp;Logo'!$B$106</f>
        <v xml:space="preserve">Satinato </v>
      </c>
      <c r="B97" t="str">
        <f>'Translate&amp;Prices&amp;Logo'!$B$118</f>
        <v xml:space="preserve">Lustro brązowe </v>
      </c>
      <c r="C97" t="str">
        <f>'Translate&amp;Prices&amp;Logo'!$B$163</f>
        <v>Optiwhite</v>
      </c>
      <c r="E97" t="str">
        <f>'Translate&amp;Prices&amp;Logo'!$B$118</f>
        <v xml:space="preserve">Lustro brązowe </v>
      </c>
      <c r="F97" t="str">
        <f>'Translate&amp;Prices&amp;Logo'!$B$118</f>
        <v xml:space="preserve">Lustro brązowe </v>
      </c>
    </row>
    <row r="98" spans="1:6">
      <c r="A98" t="str">
        <f>'Translate&amp;Prices&amp;Logo'!$B$108</f>
        <v xml:space="preserve">Satinato brązowe/Decormat Braz </v>
      </c>
      <c r="B98" t="str">
        <f>'Translate&amp;Prices&amp;Logo'!$B$119</f>
        <v xml:space="preserve">Lustro grafit </v>
      </c>
      <c r="C98" t="str">
        <f>'Translate&amp;Prices&amp;Logo'!$B$107</f>
        <v xml:space="preserve">MASTER SOFT </v>
      </c>
      <c r="E98" t="str">
        <f>'Translate&amp;Prices&amp;Logo'!$B$119</f>
        <v xml:space="preserve">Lustro grafit </v>
      </c>
      <c r="F98" t="str">
        <f>'Translate&amp;Prices&amp;Logo'!$B$119</f>
        <v xml:space="preserve">Lustro grafit </v>
      </c>
    </row>
    <row r="99" spans="1:6">
      <c r="A99" t="str">
        <f>'Translate&amp;Prices&amp;Logo'!$B$109</f>
        <v xml:space="preserve">Satinato grafit  Decormat grafit </v>
      </c>
      <c r="B99" t="str">
        <f>'Translate&amp;Prices&amp;Logo'!$B$128</f>
        <v xml:space="preserve">Lacobel RAL 1013 </v>
      </c>
      <c r="C99" t="str">
        <f>'Translate&amp;Prices&amp;Logo'!$B$120</f>
        <v xml:space="preserve">VISIOSUN poziomo </v>
      </c>
      <c r="E99" t="str">
        <f>'Translate&amp;Prices&amp;Logo'!$B$128</f>
        <v xml:space="preserve">Lacobel RAL 1013 </v>
      </c>
      <c r="F99" t="str">
        <f>'Translate&amp;Prices&amp;Logo'!$B$128</f>
        <v xml:space="preserve">Lacobel RAL 1013 </v>
      </c>
    </row>
    <row r="100" spans="1:6">
      <c r="A100" t="str">
        <f>'Translate&amp;Prices&amp;Logo'!$B$107</f>
        <v xml:space="preserve">MASTER SOFT </v>
      </c>
      <c r="B100" t="str">
        <f>'Translate&amp;Prices&amp;Logo'!$B$129</f>
        <v xml:space="preserve">Lacobel RAL 1015 </v>
      </c>
      <c r="C100" t="str">
        <f>'Translate&amp;Prices&amp;Logo'!$B$131</f>
        <v xml:space="preserve">VISIOSUN pionowo </v>
      </c>
      <c r="E100" t="str">
        <f>'Translate&amp;Prices&amp;Logo'!$B$129</f>
        <v xml:space="preserve">Lacobel RAL 1015 </v>
      </c>
      <c r="F100" t="str">
        <f>'Translate&amp;Prices&amp;Logo'!$B$129</f>
        <v xml:space="preserve">Lacobel RAL 1015 </v>
      </c>
    </row>
    <row r="101" spans="1:6">
      <c r="A101" t="str">
        <f>'Translate&amp;Prices&amp;Logo'!$B$122</f>
        <v xml:space="preserve">Master (Carre) </v>
      </c>
      <c r="B101" t="str">
        <f>'Translate&amp;Prices&amp;Logo'!$B$135</f>
        <v xml:space="preserve">Lacobel RAL 7035 </v>
      </c>
      <c r="C101" t="str">
        <f>'Translate&amp;Prices&amp;Logo'!$B$132</f>
        <v xml:space="preserve">VISIOSUN satyna pionowo </v>
      </c>
      <c r="E101" t="str">
        <f>'Translate&amp;Prices&amp;Logo'!$B$135</f>
        <v xml:space="preserve">Lacobel RAL 7035 </v>
      </c>
      <c r="F101" t="str">
        <f>'Translate&amp;Prices&amp;Logo'!$B$135</f>
        <v xml:space="preserve">Lacobel RAL 7035 </v>
      </c>
    </row>
    <row r="102" spans="1:6">
      <c r="A102" t="str">
        <f>'Translate&amp;Prices&amp;Logo'!$B$123</f>
        <v xml:space="preserve">Master  Ligne poziomo </v>
      </c>
      <c r="B102" t="str">
        <f>'Translate&amp;Prices&amp;Logo'!$B$137</f>
        <v xml:space="preserve">Lacobel RAL 9003 </v>
      </c>
      <c r="C102" t="str">
        <f>'Translate&amp;Prices&amp;Logo'!$B$133</f>
        <v xml:space="preserve">VISIOSUN satyna poziomo </v>
      </c>
      <c r="E102" t="str">
        <f>'Translate&amp;Prices&amp;Logo'!$B$137</f>
        <v xml:space="preserve">Lacobel RAL 9003 </v>
      </c>
      <c r="F102" t="str">
        <f>'Translate&amp;Prices&amp;Logo'!$B$137</f>
        <v xml:space="preserve">Lacobel RAL 9003 </v>
      </c>
    </row>
    <row r="103" spans="1:6">
      <c r="A103" t="str">
        <f>'Translate&amp;Prices&amp;Logo'!$B$127</f>
        <v xml:space="preserve">Master  Ligne pionowo </v>
      </c>
      <c r="B103" t="str">
        <f>'Translate&amp;Prices&amp;Logo'!$B$138</f>
        <v xml:space="preserve">Lacobel RAL 9005 </v>
      </c>
      <c r="C103" t="str">
        <f>'Translate&amp;Prices&amp;Logo'!$B$125</f>
        <v xml:space="preserve">FLUTES poziomo </v>
      </c>
      <c r="E103" t="str">
        <f>'Translate&amp;Prices&amp;Logo'!$B$138</f>
        <v xml:space="preserve">Lacobel RAL 9005 </v>
      </c>
      <c r="F103" t="str">
        <f>'Translate&amp;Prices&amp;Logo'!$B$138</f>
        <v xml:space="preserve">Lacobel RAL 9005 </v>
      </c>
    </row>
    <row r="104" spans="1:6">
      <c r="A104" t="str">
        <f>'Translate&amp;Prices&amp;Logo'!$B$124</f>
        <v xml:space="preserve">Master  Point </v>
      </c>
      <c r="B104" t="str">
        <f>'Translate&amp;Prices&amp;Logo'!$B$139</f>
        <v xml:space="preserve">Lacobel RAL 9006 </v>
      </c>
      <c r="C104" t="str">
        <f>'Translate&amp;Prices&amp;Logo'!$B$130</f>
        <v xml:space="preserve">FLUTES pionowo </v>
      </c>
      <c r="E104" t="str">
        <f>'Translate&amp;Prices&amp;Logo'!$B$139</f>
        <v xml:space="preserve">Lacobel RAL 9006 </v>
      </c>
      <c r="F104" t="str">
        <f>'Translate&amp;Prices&amp;Logo'!$B$139</f>
        <v xml:space="preserve">Lacobel RAL 9006 </v>
      </c>
    </row>
    <row r="105" spans="1:6">
      <c r="A105" t="str">
        <f>'Translate&amp;Prices&amp;Logo'!$B$110</f>
        <v>Masterscreen - maksymalne wymiary 2160 x 1650 mm</v>
      </c>
      <c r="B105" t="str">
        <f>'Translate&amp;Prices&amp;Logo'!$B$140</f>
        <v xml:space="preserve">Lacobel RAL 9007 </v>
      </c>
      <c r="C105" t="str">
        <f>'Translate&amp;Prices&amp;Logo'!$B$106</f>
        <v xml:space="preserve">Satinato </v>
      </c>
      <c r="E105" t="str">
        <f>'Translate&amp;Prices&amp;Logo'!$B$140</f>
        <v xml:space="preserve">Lacobel RAL 9007 </v>
      </c>
      <c r="F105" t="str">
        <f>'Translate&amp;Prices&amp;Logo'!$B$140</f>
        <v xml:space="preserve">Lacobel RAL 9007 </v>
      </c>
    </row>
    <row r="106" spans="1:6">
      <c r="A106" t="str">
        <f>'Translate&amp;Prices&amp;Logo'!$B$111</f>
        <v xml:space="preserve">Venus VG10 </v>
      </c>
      <c r="B106" t="str">
        <f>'Translate&amp;Prices&amp;Logo'!$B$141</f>
        <v xml:space="preserve">Lacobel RAL 9010 </v>
      </c>
      <c r="C106" t="str">
        <f>'Translate&amp;Prices&amp;Logo'!$B$108</f>
        <v xml:space="preserve">Satinato brązowe/Decormat Braz </v>
      </c>
      <c r="E106" t="str">
        <f>'Translate&amp;Prices&amp;Logo'!$B$141</f>
        <v xml:space="preserve">Lacobel RAL 9010 </v>
      </c>
      <c r="F106" t="str">
        <f>'Translate&amp;Prices&amp;Logo'!$B$141</f>
        <v xml:space="preserve">Lacobel RAL 9010 </v>
      </c>
    </row>
    <row r="107" spans="1:6">
      <c r="A107" t="str">
        <f>'Translate&amp;Prices&amp;Logo'!$B$112</f>
        <v>Stopsol brąz - maksymalne wymiary 2250 x 1605 mm</v>
      </c>
      <c r="B107" t="str">
        <f>'Translate&amp;Prices&amp;Logo'!$B$156</f>
        <v xml:space="preserve">Matelac RAL 9003 </v>
      </c>
      <c r="C107" t="str">
        <f>'Translate&amp;Prices&amp;Logo'!$B$109</f>
        <v xml:space="preserve">Satinato grafit  Decormat grafit </v>
      </c>
      <c r="E107" t="str">
        <f>'Translate&amp;Prices&amp;Logo'!$B$156</f>
        <v xml:space="preserve">Matelac RAL 9003 </v>
      </c>
      <c r="F107" t="str">
        <f>'Translate&amp;Prices&amp;Logo'!$B$156</f>
        <v xml:space="preserve">Matelac RAL 9003 </v>
      </c>
    </row>
    <row r="108" spans="1:6">
      <c r="A108" t="str">
        <f>'Translate&amp;Prices&amp;Logo'!$B$115</f>
        <v xml:space="preserve">Antisol brąz </v>
      </c>
      <c r="B108" t="str">
        <f>'Translate&amp;Prices&amp;Logo'!$B$157</f>
        <v xml:space="preserve">Matelac RAL 9005 </v>
      </c>
      <c r="C108" t="str">
        <f>'Translate&amp;Prices&amp;Logo'!$B$110</f>
        <v>Masterscreen - maksymalne wymiary 2160 x 1650 mm</v>
      </c>
      <c r="E108" t="str">
        <f>'Translate&amp;Prices&amp;Logo'!$B$157</f>
        <v xml:space="preserve">Matelac RAL 9005 </v>
      </c>
      <c r="F108" t="str">
        <f>'Translate&amp;Prices&amp;Logo'!$B$157</f>
        <v xml:space="preserve">Matelac RAL 9005 </v>
      </c>
    </row>
    <row r="109" spans="1:6">
      <c r="A109" t="str">
        <f>'Translate&amp;Prices&amp;Logo'!$B$116</f>
        <v xml:space="preserve">Antisol grafit </v>
      </c>
      <c r="B109" t="str">
        <f>'Translate&amp;Prices&amp;Logo'!$B$162</f>
        <v>Matelac lustro bronz</v>
      </c>
      <c r="C109" t="str">
        <f>'Translate&amp;Prices&amp;Logo'!$B$111</f>
        <v xml:space="preserve">Venus VG10 </v>
      </c>
      <c r="E109" t="str">
        <f>'Translate&amp;Prices&amp;Logo'!$B$162</f>
        <v>Matelac lustro bronz</v>
      </c>
      <c r="F109" t="str">
        <f>'Translate&amp;Prices&amp;Logo'!$B$162</f>
        <v>Matelac lustro bronz</v>
      </c>
    </row>
    <row r="110" spans="1:6">
      <c r="A110" t="str">
        <f>'Translate&amp;Prices&amp;Logo'!$B$117</f>
        <v xml:space="preserve">Lustro </v>
      </c>
      <c r="B110" t="str">
        <f>'Translate&amp;Prices&amp;Logo'!$B$164</f>
        <v>Matelac lustro grafit</v>
      </c>
      <c r="C110" t="str">
        <f>'Translate&amp;Prices&amp;Logo'!$B$112</f>
        <v>Stopsol brąz - maksymalne wymiary 2250 x 1605 mm</v>
      </c>
      <c r="E110" t="str">
        <f>'Translate&amp;Prices&amp;Logo'!$B$164</f>
        <v>Matelac lustro grafit</v>
      </c>
      <c r="F110" t="str">
        <f>'Translate&amp;Prices&amp;Logo'!$B$164</f>
        <v>Matelac lustro grafit</v>
      </c>
    </row>
    <row r="111" spans="1:6">
      <c r="A111" t="str">
        <f>'Translate&amp;Prices&amp;Logo'!$B$118</f>
        <v xml:space="preserve">Lustro brązowe </v>
      </c>
      <c r="B111" t="str">
        <f>'Translate&amp;Prices&amp;Logo'!$B$165</f>
        <v>Matelac lustro srebrny</v>
      </c>
      <c r="C111" t="str">
        <f>'Translate&amp;Prices&amp;Logo'!$B$115</f>
        <v xml:space="preserve">Antisol brąz </v>
      </c>
      <c r="E111" t="str">
        <f>'Translate&amp;Prices&amp;Logo'!$B$165</f>
        <v>Matelac lustro srebrny</v>
      </c>
      <c r="F111" t="str">
        <f>'Translate&amp;Prices&amp;Logo'!$B$165</f>
        <v>Matelac lustro srebrny</v>
      </c>
    </row>
    <row r="112" spans="1:6">
      <c r="A112" t="str">
        <f>'Translate&amp;Prices&amp;Logo'!$B$119</f>
        <v xml:space="preserve">Lustro grafit </v>
      </c>
      <c r="C112" t="str">
        <f>'Translate&amp;Prices&amp;Logo'!$B$116</f>
        <v xml:space="preserve">Antisol grafit </v>
      </c>
    </row>
    <row r="113" spans="1:3">
      <c r="A113" t="str">
        <f>'Translate&amp;Prices&amp;Logo'!$B$120</f>
        <v xml:space="preserve">VISIOSUN poziomo </v>
      </c>
      <c r="C113" t="str">
        <f>'Translate&amp;Prices&amp;Logo'!$B$121</f>
        <v>Krizet - maksymalne wymiary 2130 x 1650 mm</v>
      </c>
    </row>
    <row r="114" spans="1:3">
      <c r="A114" t="str">
        <f>'Translate&amp;Prices&amp;Logo'!$B$131</f>
        <v xml:space="preserve">VISIOSUN pionowo </v>
      </c>
      <c r="C114" t="str">
        <f>'Translate&amp;Prices&amp;Logo'!$B$122</f>
        <v xml:space="preserve">Master (Carre) </v>
      </c>
    </row>
    <row r="115" spans="1:3">
      <c r="A115" t="str">
        <f>'Translate&amp;Prices&amp;Logo'!$B$133</f>
        <v xml:space="preserve">VISIOSUN satyna poziomo </v>
      </c>
      <c r="C115" t="str">
        <f>'Translate&amp;Prices&amp;Logo'!$B$123</f>
        <v xml:space="preserve">Master  Ligne poziomo </v>
      </c>
    </row>
    <row r="116" spans="1:3">
      <c r="A116" t="str">
        <f>'Translate&amp;Prices&amp;Logo'!$B$132</f>
        <v xml:space="preserve">VISIOSUN satyna pionowo </v>
      </c>
      <c r="C116" t="str">
        <f>'Translate&amp;Prices&amp;Logo'!$B$127</f>
        <v xml:space="preserve">Master  Ligne pionowo </v>
      </c>
    </row>
    <row r="117" spans="1:3">
      <c r="A117" t="str">
        <f>'Translate&amp;Prices&amp;Logo'!$B$121</f>
        <v>Krizet - maksymalne wymiary 2130 x 1650 mm</v>
      </c>
      <c r="C117" t="str">
        <f>'Translate&amp;Prices&amp;Logo'!$B$124</f>
        <v xml:space="preserve">Master  Point </v>
      </c>
    </row>
    <row r="118" spans="1:3">
      <c r="A118" t="str">
        <f>'Translate&amp;Prices&amp;Logo'!$B$130</f>
        <v xml:space="preserve">FLUTES pionowo </v>
      </c>
      <c r="C118" t="str">
        <f>'Translate&amp;Prices&amp;Logo'!$B$142</f>
        <v xml:space="preserve">Moru brąz pionowo </v>
      </c>
    </row>
    <row r="119" spans="1:3">
      <c r="A119" t="str">
        <f>'Translate&amp;Prices&amp;Logo'!$B$125</f>
        <v xml:space="preserve">FLUTES poziomo </v>
      </c>
      <c r="C119" t="str">
        <f>'Translate&amp;Prices&amp;Logo'!$B$143</f>
        <v xml:space="preserve">Moru grafit pionowo </v>
      </c>
    </row>
    <row r="120" spans="1:3">
      <c r="A120" t="str">
        <f>'Translate&amp;Prices&amp;Logo'!$B$113</f>
        <v xml:space="preserve">Lakomat </v>
      </c>
      <c r="C120" t="str">
        <f>'Translate&amp;Prices&amp;Logo'!$B$146</f>
        <v xml:space="preserve">Moru brąz poziomo </v>
      </c>
    </row>
    <row r="121" spans="1:3">
      <c r="A121" t="str">
        <f>'Translate&amp;Prices&amp;Logo'!$B$128</f>
        <v xml:space="preserve">Lacobel RAL 1013 </v>
      </c>
      <c r="C121" t="str">
        <f>'Translate&amp;Prices&amp;Logo'!$B$147</f>
        <v xml:space="preserve">Moru grafit poziomo </v>
      </c>
    </row>
    <row r="122" spans="1:3">
      <c r="A122" t="str">
        <f>'Translate&amp;Prices&amp;Logo'!$B$129</f>
        <v xml:space="preserve">Lacobel RAL 1015 </v>
      </c>
    </row>
    <row r="123" spans="1:3">
      <c r="A123" t="str">
        <f>'Translate&amp;Prices&amp;Logo'!$B$135</f>
        <v xml:space="preserve">Lacobel RAL 7035 </v>
      </c>
    </row>
    <row r="124" spans="1:3">
      <c r="A124" t="str">
        <f>'Translate&amp;Prices&amp;Logo'!$B$137</f>
        <v xml:space="preserve">Lacobel RAL 9003 </v>
      </c>
    </row>
    <row r="125" spans="1:3">
      <c r="A125" t="str">
        <f>'Translate&amp;Prices&amp;Logo'!$B$138</f>
        <v xml:space="preserve">Lacobel RAL 9005 </v>
      </c>
    </row>
    <row r="126" spans="1:3">
      <c r="A126" t="str">
        <f>'Translate&amp;Prices&amp;Logo'!$B$139</f>
        <v xml:space="preserve">Lacobel RAL 9006 </v>
      </c>
    </row>
    <row r="127" spans="1:3">
      <c r="A127" t="str">
        <f>'Translate&amp;Prices&amp;Logo'!$B$140</f>
        <v xml:space="preserve">Lacobel RAL 9007 </v>
      </c>
    </row>
    <row r="128" spans="1:3">
      <c r="A128" t="str">
        <f>'Translate&amp;Prices&amp;Logo'!$B$141</f>
        <v xml:space="preserve">Lacobel RAL 9010 </v>
      </c>
    </row>
    <row r="129" spans="1:1">
      <c r="A129" t="str">
        <f>'Translate&amp;Prices&amp;Logo'!$B$156</f>
        <v xml:space="preserve">Matelac RAL 9003 </v>
      </c>
    </row>
    <row r="130" spans="1:1">
      <c r="A130" t="str">
        <f>'Translate&amp;Prices&amp;Logo'!$B$157</f>
        <v xml:space="preserve">Matelac RAL 9005 </v>
      </c>
    </row>
    <row r="131" spans="1:1">
      <c r="A131" t="str">
        <f>'Translate&amp;Prices&amp;Logo'!$B$162</f>
        <v>Matelac lustro bronz</v>
      </c>
    </row>
    <row r="132" spans="1:1">
      <c r="A132" t="str">
        <f>'Translate&amp;Prices&amp;Logo'!$B$164</f>
        <v>Matelac lustro grafit</v>
      </c>
    </row>
    <row r="133" spans="1:1">
      <c r="A133" t="str">
        <f>'Translate&amp;Prices&amp;Logo'!$B$165</f>
        <v>Matelac lustro srebrny</v>
      </c>
    </row>
    <row r="134" spans="1:1">
      <c r="A134" t="str">
        <f>'Translate&amp;Prices&amp;Logo'!$B$163</f>
        <v>Optiwhite</v>
      </c>
    </row>
    <row r="135" spans="1:1">
      <c r="A135" t="str">
        <f>'Translate&amp;Prices&amp;Logo'!$B$114</f>
        <v>Planibel dark grey</v>
      </c>
    </row>
    <row r="136" spans="1:1">
      <c r="A136" t="str">
        <f>'Translate&amp;Prices&amp;Logo'!$B$142</f>
        <v xml:space="preserve">Moru brąz pionowo </v>
      </c>
    </row>
    <row r="137" spans="1:1">
      <c r="A137" t="str">
        <f>'Translate&amp;Prices&amp;Logo'!$B$143</f>
        <v xml:space="preserve">Moru grafit pionowo </v>
      </c>
    </row>
    <row r="138" spans="1:1">
      <c r="A138" t="str">
        <f>'Translate&amp;Prices&amp;Logo'!$B$146</f>
        <v xml:space="preserve">Moru brąz poziomo </v>
      </c>
    </row>
    <row r="139" spans="1:1">
      <c r="A139" t="str">
        <f>'Translate&amp;Prices&amp;Logo'!$B$147</f>
        <v xml:space="preserve">Moru grafit poziomo </v>
      </c>
    </row>
    <row r="204" spans="1:2">
      <c r="A204">
        <v>1</v>
      </c>
      <c r="B204" t="s">
        <v>2174</v>
      </c>
    </row>
    <row r="205" spans="1:2">
      <c r="A205">
        <v>2</v>
      </c>
      <c r="B205" t="s">
        <v>2175</v>
      </c>
    </row>
    <row r="206" spans="1:2">
      <c r="A206">
        <v>3</v>
      </c>
      <c r="B206" t="s">
        <v>2176</v>
      </c>
    </row>
    <row r="207" spans="1:2">
      <c r="A207">
        <v>4</v>
      </c>
      <c r="B207" t="s">
        <v>2177</v>
      </c>
    </row>
    <row r="208" spans="1:2">
      <c r="A208">
        <v>5</v>
      </c>
      <c r="B208" t="s">
        <v>2175</v>
      </c>
    </row>
    <row r="209" spans="1:2">
      <c r="A209">
        <v>6</v>
      </c>
      <c r="B209" t="s">
        <v>2175</v>
      </c>
    </row>
  </sheetData>
  <phoneticPr fontId="15" type="noConversion"/>
  <conditionalFormatting sqref="A94 A98:A102 A117:A139">
    <cfRule type="expression" dxfId="469" priority="3" stopIfTrue="1">
      <formula>AND(COUNTIF($Q$68:$Q$65536, A94)+COUNTIF($Q$2:$Q$2, A94)+COUNTIF($Q$4:$Q$4, A94)+COUNTIF($Q$6:$Q$54, A94)&gt;1,NOT(ISBLANK(A94)))</formula>
    </cfRule>
  </conditionalFormatting>
  <conditionalFormatting sqref="A96 A104:A109 A111:A112 C118:C121">
    <cfRule type="expression" dxfId="468" priority="21" stopIfTrue="1">
      <formula>AND(COUNTIF($Q$68:$Q$65536, A96)+COUNTIF($Q$2:$Q$2, A96)+COUNTIF($Q$4:$Q$4, A96)+COUNTIF($Q$6:$Q$54, A96)&gt;1,NOT(ISBLANK(A96)))</formula>
    </cfRule>
  </conditionalFormatting>
  <conditionalFormatting sqref="B94">
    <cfRule type="expression" dxfId="467" priority="2" stopIfTrue="1">
      <formula>AND(COUNTIF($R$2:$R$2, B94)+COUNTIF($R$63:$R$65536, B94)+COUNTIF($R$49:$R$61, B94)&gt;1,NOT(ISBLANK(B94)))</formula>
    </cfRule>
  </conditionalFormatting>
  <conditionalFormatting sqref="B96:B98">
    <cfRule type="duplicateValues" dxfId="466" priority="14"/>
  </conditionalFormatting>
  <conditionalFormatting sqref="B100">
    <cfRule type="duplicateValues" dxfId="465" priority="563"/>
  </conditionalFormatting>
  <conditionalFormatting sqref="B101">
    <cfRule type="duplicateValues" dxfId="464" priority="13"/>
  </conditionalFormatting>
  <conditionalFormatting sqref="B102:B109 B121:B125">
    <cfRule type="duplicateValues" dxfId="463" priority="20"/>
  </conditionalFormatting>
  <conditionalFormatting sqref="B110:B111 B129:B131 B126">
    <cfRule type="duplicateValues" dxfId="462" priority="15"/>
  </conditionalFormatting>
  <conditionalFormatting sqref="B113:B115">
    <cfRule type="duplicateValues" dxfId="461" priority="12"/>
  </conditionalFormatting>
  <conditionalFormatting sqref="C96">
    <cfRule type="duplicateValues" dxfId="460" priority="11"/>
  </conditionalFormatting>
  <conditionalFormatting sqref="C103 C98:C99">
    <cfRule type="duplicateValues" dxfId="459" priority="25"/>
  </conditionalFormatting>
  <conditionalFormatting sqref="C105:C110">
    <cfRule type="duplicateValues" dxfId="458" priority="10"/>
  </conditionalFormatting>
  <conditionalFormatting sqref="C111:C112">
    <cfRule type="duplicateValues" dxfId="457" priority="9"/>
  </conditionalFormatting>
  <conditionalFormatting sqref="C113:C117">
    <cfRule type="duplicateValues" dxfId="456" priority="570"/>
  </conditionalFormatting>
  <conditionalFormatting sqref="C123:C139">
    <cfRule type="duplicateValues" dxfId="455" priority="24"/>
  </conditionalFormatting>
  <conditionalFormatting sqref="D96">
    <cfRule type="duplicateValues" dxfId="454" priority="8"/>
  </conditionalFormatting>
  <conditionalFormatting sqref="E96:E98">
    <cfRule type="duplicateValues" dxfId="453" priority="7"/>
  </conditionalFormatting>
  <conditionalFormatting sqref="E99:E106 E118:E122">
    <cfRule type="duplicateValues" dxfId="452" priority="22"/>
  </conditionalFormatting>
  <conditionalFormatting sqref="E107:E108 E123:E124">
    <cfRule type="duplicateValues" dxfId="451" priority="16"/>
  </conditionalFormatting>
  <conditionalFormatting sqref="E109:E111">
    <cfRule type="duplicateValues" dxfId="450" priority="6"/>
  </conditionalFormatting>
  <conditionalFormatting sqref="F96:F98">
    <cfRule type="duplicateValues" dxfId="449" priority="5"/>
  </conditionalFormatting>
  <conditionalFormatting sqref="F109:F111">
    <cfRule type="duplicateValues" dxfId="448" priority="4"/>
  </conditionalFormatting>
  <conditionalFormatting sqref="F113:F122 F99:F106">
    <cfRule type="duplicateValues" dxfId="447" priority="23"/>
  </conditionalFormatting>
  <conditionalFormatting sqref="F123:F124 F107:F108">
    <cfRule type="duplicateValues" dxfId="446" priority="17"/>
  </conditionalFormatting>
  <conditionalFormatting sqref="BQ2:BR2">
    <cfRule type="duplicateValues" dxfId="445" priority="1"/>
  </conditionalFormatting>
  <dataValidations disablePrompts="1" count="1">
    <dataValidation type="list" allowBlank="1" showInputMessage="1" showErrorMessage="1" sqref="CD2" xr:uid="{D0F5C369-BD80-4C94-A964-D66FB4AF9421}">
      <formula1>_xlfn.ANCHORARRAY($CB$2)</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1D97-60A8-4185-ABDE-464007F9E9FA}">
  <sheetPr codeName="List13">
    <tabColor rgb="FF00B0F0"/>
    <pageSetUpPr fitToPage="1"/>
  </sheetPr>
  <dimension ref="A1:BM138"/>
  <sheetViews>
    <sheetView showGridLines="0" showRowColHeaders="0" showZeros="0" workbookViewId="0">
      <selection activeCell="H8" sqref="H8:Q8"/>
    </sheetView>
  </sheetViews>
  <sheetFormatPr defaultColWidth="0" defaultRowHeight="15"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0" width="6.28515625" style="112" customWidth="1"/>
    <col min="11" max="11" width="9.7109375" style="112" customWidth="1"/>
    <col min="12" max="12" width="6.28515625" style="112" customWidth="1"/>
    <col min="13" max="13" width="6.5703125" style="112" customWidth="1"/>
    <col min="14" max="16" width="6.140625" style="112" customWidth="1"/>
    <col min="17" max="17" width="6.28515625" style="112" customWidth="1"/>
    <col min="18" max="24" width="5.5703125" style="112" customWidth="1"/>
    <col min="25" max="25" width="11"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5" width="6.42578125" style="112" customWidth="1"/>
    <col min="36"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"&amp;1</f>
        <v>Ramka  1</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Wprowadzenie</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IFERROR(IF(kombinace_1!FC2=TRUE,'Translate&amp;Prices&amp;Logo'!B656,IF(VLOOKUP(H8,kombinace_1!$A:$E,5,0)=3,'Translate&amp;Prices&amp;Logo'!B644,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3" t="str">
        <f>'Translate&amp;Prices&amp;Logo'!$B$171&amp;" "&amp;" "&amp;1</f>
        <v>Ramka  1</v>
      </c>
      <c r="C5" s="593"/>
      <c r="D5" s="593"/>
      <c r="E5" s="106"/>
      <c r="F5" s="594" t="str">
        <f>'Translate&amp;Prices&amp;Logo'!$B$171&amp;" "&amp;" "&amp;2</f>
        <v>Ramka  2</v>
      </c>
      <c r="G5" s="594"/>
      <c r="H5" s="594"/>
      <c r="I5" s="9"/>
      <c r="J5" s="594" t="str">
        <f>'Translate&amp;Prices&amp;Logo'!$B$171&amp;" "&amp;" "&amp;3</f>
        <v>Ramka  3</v>
      </c>
      <c r="K5" s="594"/>
      <c r="L5" s="594"/>
      <c r="M5" s="9"/>
      <c r="N5" s="594" t="str">
        <f>'Translate&amp;Prices&amp;Logo'!$B$171&amp;" "&amp;" "&amp;4</f>
        <v>Ramka  4</v>
      </c>
      <c r="O5" s="594"/>
      <c r="P5" s="594"/>
      <c r="Q5" s="9"/>
      <c r="R5" s="594" t="str">
        <f>'Translate&amp;Prices&amp;Logo'!$B$171&amp;" "&amp;" "&amp;5</f>
        <v>Ramka  5</v>
      </c>
      <c r="S5" s="594"/>
      <c r="T5" s="594"/>
      <c r="U5" s="9"/>
      <c r="V5" s="594" t="str">
        <f>'Translate&amp;Prices&amp;Logo'!$B$171&amp;" "&amp;" "&amp;6</f>
        <v>Ramka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Połączenie 2 profili</v>
      </c>
      <c r="C7" s="598"/>
      <c r="D7" s="598"/>
      <c r="E7" s="598"/>
      <c r="F7" s="598"/>
      <c r="G7" s="635" t="str">
        <f>IF(kombinace_1!FC2=TRUE,AB4,"")</f>
        <v/>
      </c>
      <c r="H7" s="635"/>
      <c r="I7" s="635"/>
      <c r="J7" s="635"/>
      <c r="K7" s="635"/>
      <c r="L7" s="635"/>
      <c r="M7" s="635"/>
      <c r="N7" s="635"/>
      <c r="O7" s="635"/>
      <c r="P7" s="635"/>
      <c r="Q7" s="636"/>
      <c r="R7" s="224"/>
      <c r="S7" s="602" t="str">
        <f>'Translate&amp;Prices&amp;Logo'!$B$574</f>
        <v>Ważne informacje: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VLOOKUP(H8,kombinace_1!$A3:$B100,2,0)</f>
        <v>#N/A</v>
      </c>
      <c r="AV7" s="140" t="e">
        <f>IF(AU7=2,"Široký",IF(AU7=1,"Úzký",IF(AU7=3,"kombo")))</f>
        <v>#N/A</v>
      </c>
    </row>
    <row r="8" spans="1:65" ht="49.15" customHeight="1">
      <c r="A8" s="61"/>
      <c r="B8" s="216" t="str">
        <f>'Translate&amp;Prices&amp;Logo'!$B$655</f>
        <v>Wypełnienie z siatki</v>
      </c>
      <c r="C8" s="217"/>
      <c r="D8" s="217"/>
      <c r="E8" s="218" t="str">
        <f>'Translate&amp;Prices&amp;Logo'!$B$174</f>
        <v>Rodzaj profilu</v>
      </c>
      <c r="F8" s="218"/>
      <c r="G8" s="223"/>
      <c r="H8" s="603"/>
      <c r="I8" s="603"/>
      <c r="J8" s="603"/>
      <c r="K8" s="603"/>
      <c r="L8" s="603"/>
      <c r="M8" s="603"/>
      <c r="N8" s="603"/>
      <c r="O8" s="603"/>
      <c r="P8" s="603"/>
      <c r="Q8" s="604"/>
      <c r="R8" s="225"/>
      <c r="S8" s="617" t="str">
        <f>IF(AU10&gt;0,'Translate&amp;Prices&amp;Logo'!B305,IF(OR(H8=kombinace_1!A64,H8=kombinace_1!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Odległość od lewej krawędzi</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IFERROR(IF(AND(VLOOKUP(H8,kombinace_1!$A:$D,4,0)=1,kombinace_1!FC2=FALSE),'Translate&amp;Prices&amp;Logo'!$B$545,0),0)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Rozstaw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IFERROR((VLOOKUP(H12,kombinace_1!$DP$2:$DQ$3,2,0)),"")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80</v>
      </c>
      <c r="AE10" s="647" t="str">
        <f>'Translate&amp;Prices&amp;Logo'!$B$639</f>
        <v>Odległość od górnej krawędzi</v>
      </c>
      <c r="AF10" s="9"/>
      <c r="AG10" s="9"/>
      <c r="AH10" s="9"/>
      <c r="AI10" s="60"/>
      <c r="AJ10" s="61"/>
      <c r="AK10" s="9"/>
      <c r="AL10" s="9"/>
      <c r="AM10" s="9"/>
      <c r="AN10" s="9"/>
      <c r="AO10" s="9"/>
      <c r="AP10" s="77"/>
      <c r="AQ10" s="307"/>
      <c r="AR10" s="9"/>
      <c r="AS10" s="9"/>
      <c r="AT10" s="139" t="s">
        <v>1196</v>
      </c>
      <c r="AU10" s="140">
        <f>IFERROR(VLOOKUP(H9,kombinace_1!$BY$13:$BZ$15,2,0),0)</f>
        <v>0</v>
      </c>
      <c r="AV10" s="140"/>
    </row>
    <row r="11" spans="1:65" ht="18" customHeight="1">
      <c r="A11" s="61"/>
      <c r="B11" s="631" t="str">
        <f>('Translate&amp;Prices&amp;Logo'!$B$545)&amp;" "&amp;"("&amp;'Translate&amp;Prices&amp;Logo'!$B$176&amp;")"</f>
        <v>Szprosy (Ilość sztuk)</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IFERROR(IF(kombinace_1!$H$1=TRUE,BA2+AY3,0),0)</f>
        <v>0</v>
      </c>
      <c r="AU11" s="146"/>
      <c r="AV11" s="140"/>
    </row>
    <row r="12" spans="1:65" ht="18" customHeight="1">
      <c r="A12" s="61"/>
      <c r="B12" s="608" t="str">
        <f>'Translate&amp;Prices&amp;Logo'!$B$260</f>
        <v>Typ okucia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Marka okucia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Rozstaw  mm</v>
      </c>
      <c r="AE14" s="647"/>
      <c r="AF14" s="9"/>
      <c r="AG14" s="9"/>
      <c r="AH14" s="9"/>
      <c r="AI14" s="60"/>
      <c r="AJ14" s="61"/>
      <c r="AK14" s="9"/>
      <c r="AL14" s="9"/>
      <c r="AM14" s="645" t="str">
        <f>('Translate&amp;Prices&amp;Logo'!$B$550)&amp;" "&amp;H26&amp;" "&amp;"mm"</f>
        <v>Rozstaw  mm</v>
      </c>
      <c r="AN14" s="9"/>
      <c r="AO14" s="81"/>
      <c r="AP14" s="74"/>
      <c r="AQ14" s="307"/>
      <c r="AR14" s="585"/>
      <c r="AS14" s="9"/>
      <c r="AT14" s="146"/>
      <c r="AU14" s="140"/>
      <c r="AV14" s="140"/>
      <c r="AW14" s="165" t="s">
        <v>2197</v>
      </c>
    </row>
    <row r="15" spans="1:65" ht="18" customHeight="1" thickBot="1">
      <c r="A15" s="61"/>
      <c r="B15" s="608" t="str">
        <f>'Translate&amp;Prices&amp;Logo'!$B$547</f>
        <v>Wariant okucia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IF(H15=kombinace_1!AB40,'Translate&amp;Prices&amp;Logo'!$B$226,IF(H15=kombinace_1!AB41,'Translate&amp;Prices&amp;Logo'!$B$226,IF(H12='závěsy dle výklopu'!BQ2,'Translate&amp;Prices&amp;Logo'!$B$224,'Translate&amp;Prices&amp;Logo'!$B$220)))</f>
        <v>Wybierz pozycję ramki</v>
      </c>
      <c r="C16" s="630"/>
      <c r="D16" s="630"/>
      <c r="E16" s="630"/>
      <c r="F16" s="628"/>
      <c r="G16" s="628"/>
      <c r="H16" s="628"/>
      <c r="I16" s="628"/>
      <c r="J16" s="624" t="str">
        <f>IF(OR(H15=kombinace_1!AB40,H15=kombinace_1!AB7,H15=kombinace_1!AB15,H15=kombinace_1!AB20,H15=kombinace_1!AB21,H15=kombinace_1!AB22),'Translate&amp;Prices&amp;Logo'!$B$228,IF(H15=kombinace_1!AB41,'Translate&amp;Prices&amp;Logo'!$B$228,'Translate&amp;Prices&amp;Logo'!$B$234))</f>
        <v>Rodzaj drugiej ramki</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IF(H12='Translate&amp;Prices&amp;Logo'!B553,'Translate&amp;Prices&amp;Logo'!B240,IF(H15=kombinace_1!AB8,'Translate&amp;Prices&amp;Logo'!B286,0))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IF(H13="Salice",VLOOKUP(H17,kombinace_1!$BY:$BZ,2,0),0)</f>
        <v>0</v>
      </c>
    </row>
    <row r="18" spans="1:52" ht="18" customHeight="1">
      <c r="A18" s="61"/>
      <c r="B18" s="608">
        <f>IFERROR(IF(VLOOKUP(H15,kombinace_1!CD:CE,2,0)=1,'Translate&amp;Prices&amp;Logo'!$B$549,0),0)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IFERROR(IF(H12='Translate&amp;Prices&amp;Logo'!B553,'Translate&amp;Prices&amp;Logo'!$B$225,IF(VLOOKUP(H15,kombinace_1!CD:CE,2,0)=1,'Translate&amp;Prices&amp;Logo'!$B$225,)),0)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50</v>
      </c>
      <c r="AC19" s="584"/>
      <c r="AD19" s="610"/>
      <c r="AE19" s="9"/>
      <c r="AF19" s="9"/>
      <c r="AG19" s="9"/>
      <c r="AH19" s="9"/>
      <c r="AI19" s="157"/>
      <c r="AJ19" s="61"/>
      <c r="AK19" s="9"/>
      <c r="AL19" s="644" t="str">
        <f>'Translate&amp;Prices&amp;Logo'!$B$638</f>
        <v>Odległość od dolnej krawędzi</v>
      </c>
      <c r="AM19" s="645"/>
      <c r="AN19" s="584">
        <v>0</v>
      </c>
      <c r="AO19" s="584"/>
      <c r="AP19" s="76"/>
      <c r="AQ19" s="307"/>
      <c r="AR19" s="583" t="str">
        <f>'Translate&amp;Prices&amp;Logo'!$B$178</f>
        <v>Wysokość</v>
      </c>
      <c r="AS19" s="9"/>
      <c r="AT19" s="146"/>
      <c r="AU19" s="138">
        <f>IFERROR(IF(H12='závěsy dle výklopu'!BR2,VLOOKUP(H15,kombinace_1!$CD$3:$CF$18,3,0),IF(H12='závěsy dle výklopu'!BQ2,1,0)),0)</f>
        <v>0</v>
      </c>
      <c r="AV19" s="140">
        <f>IFERROR(VLOOKUP(H15,kombinace_1!$CD:$CF,3,0),0)</f>
        <v>0</v>
      </c>
    </row>
    <row r="20" spans="1:52" ht="18" customHeight="1">
      <c r="A20" s="61"/>
      <c r="B20" s="633">
        <f>IF(H13&lt;&gt;"Salice",(IFERROR(VLOOKUP(H17,kombinace_1!$BY$32:$CA$35,2,0),0)),0)</f>
        <v>0</v>
      </c>
      <c r="C20" s="634"/>
      <c r="D20" s="634"/>
      <c r="E20" s="634"/>
      <c r="F20" s="620">
        <v>100</v>
      </c>
      <c r="G20" s="620"/>
      <c r="H20" s="620"/>
      <c r="I20" s="620"/>
      <c r="J20" s="634">
        <f>IFERROR(VLOOKUP(H17,kombinace_1!$BY$32:$CA$35,3,0),0)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IF(kombinace_1!FC2=FALSE,'Translate&amp;Prices&amp;Logo'!$B$175," ")</f>
        <v>Rodzaj szkła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Nie zmieniaj po wybraniu rodzaj szkła/siatka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VLOOKUP(H17,kombinace_1!$BY$3:$BZ$6,2,0)</f>
        <v>#N/A</v>
      </c>
      <c r="AV23" s="140"/>
    </row>
    <row r="24" spans="1:52" ht="18" customHeight="1">
      <c r="A24" s="61"/>
      <c r="B24" s="669" t="str">
        <f>'Translate&amp;Prices&amp;Logo'!$B$564</f>
        <v>Rodzaj folii</v>
      </c>
      <c r="C24" s="670"/>
      <c r="D24" s="670"/>
      <c r="E24" s="670"/>
      <c r="F24" s="670"/>
      <c r="G24" s="98"/>
      <c r="H24" s="590"/>
      <c r="I24" s="590"/>
      <c r="J24" s="590"/>
      <c r="K24" s="590"/>
      <c r="L24" s="590"/>
      <c r="M24" s="590"/>
      <c r="N24" s="590"/>
      <c r="O24" s="590"/>
      <c r="P24" s="590"/>
      <c r="Q24" s="607"/>
      <c r="R24" s="61"/>
      <c r="S24" s="602" t="str">
        <f>'Translate&amp;Prices&amp;Logo'!$B$179</f>
        <v>Uwagi (notatki)</v>
      </c>
      <c r="T24" s="602"/>
      <c r="U24" s="602"/>
      <c r="Z24" s="80"/>
      <c r="AA24" s="78"/>
      <c r="AB24" s="79"/>
      <c r="AC24" s="600" t="str">
        <f>'Translate&amp;Prices&amp;Logo'!$B$244</f>
        <v>Odległość od lewej krawędzi</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Rodzaj szkła/siatka</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Rozstaw  mm</v>
      </c>
      <c r="AG25" s="599"/>
      <c r="AH25" s="599"/>
      <c r="AI25" s="599"/>
      <c r="AJ25" s="599"/>
      <c r="AK25" s="599"/>
      <c r="AL25" s="644"/>
      <c r="AM25" s="601"/>
      <c r="AN25" s="9"/>
      <c r="AO25" s="80"/>
      <c r="AP25" s="83"/>
      <c r="AQ25" s="307"/>
      <c r="AR25" s="9"/>
      <c r="AS25" s="9"/>
      <c r="AT25" s="146"/>
      <c r="AU25" s="140" t="e">
        <f>VLOOKUP(H27,kombinace_1!$BY3:$BZ6,2,0)</f>
        <v>#N/A</v>
      </c>
      <c r="AV25" s="140"/>
    </row>
    <row r="26" spans="1:52" ht="18" customHeight="1">
      <c r="A26" s="61"/>
      <c r="B26" s="608" t="str">
        <f>'Translate&amp;Prices&amp;Logo'!$B$551</f>
        <v>Rozstaw uchwytu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Umieszczenie uchwytu</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Ilość sztuk</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VLOOKUP(H14,kombinace_1!$DN$7:$DO$24,2,0)</f>
        <v>#N/A</v>
      </c>
      <c r="AB29" s="643">
        <f>IF(kombinace_1!FC2=TRUE,AB4,IF(H12='závěsy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ramek</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zl</v>
      </c>
      <c r="Q30" s="659"/>
      <c r="R30" s="61"/>
      <c r="S30" s="652"/>
      <c r="T30" s="653"/>
      <c r="U30" s="653"/>
      <c r="V30" s="653"/>
      <c r="W30" s="653"/>
      <c r="X30" s="653"/>
      <c r="Y30" s="654"/>
      <c r="Z30" s="9"/>
      <c r="AA30" s="9"/>
      <c r="AB30" s="61"/>
      <c r="AC30" s="9"/>
      <c r="AD30" s="9"/>
      <c r="AE30" s="9"/>
      <c r="AF30" s="642" t="str">
        <f>'Translate&amp;Prices&amp;Logo'!$B$177</f>
        <v>Szerokość</v>
      </c>
      <c r="AG30" s="642"/>
      <c r="AH30" s="642"/>
      <c r="AI30" s="637"/>
      <c r="AJ30" s="637"/>
      <c r="AK30" s="637"/>
      <c r="AL30" s="9"/>
      <c r="AM30" s="9"/>
      <c r="AN30" s="9"/>
      <c r="AO30" s="9"/>
      <c r="AP30" s="9"/>
      <c r="AQ30" s="9"/>
      <c r="AR30" s="9"/>
      <c r="AS30" s="9"/>
      <c r="AT30" s="146"/>
      <c r="AU30" s="138" t="e">
        <f>HLOOKUP("_Úzký_dolny_K12",kombinace_1!CV2:CW19,3,FALSE)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Podsumowanie</v>
      </c>
      <c r="AP31" s="512"/>
      <c r="AQ31" s="512"/>
      <c r="AR31" s="512"/>
      <c r="AS31" s="9"/>
      <c r="AT31" s="146"/>
      <c r="AU31" s="138" t="e">
        <f>AD44</f>
        <v>#N/A</v>
      </c>
    </row>
    <row r="32" spans="1:52" ht="17.25" customHeight="1">
      <c r="A32" s="61"/>
      <c r="B32" s="625" t="str">
        <f>'Translate&amp;Prices&amp;Logo'!$B$173</f>
        <v>Podane ceny nie zawierają podatku VAT ani nie zawierają ceny okuć!</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Ramki aluminiowe bez szkła dostarczane są w stanie rozmontowanym.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IF(kombinace_1!V1=2,((AR14/1000)*(AI30/1000))*'Translate&amp;Prices&amp;Logo'!C96,0)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IF(kombinace_1!$V$1=3,IFERROR(((VLOOKUP(H24,'Translate&amp;Prices&amp;Logo'!B93:C95,2,0))*(AR14/1000)),0),0)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IF(kombinace_1!FC2=TRUE,_profily_síťka,IF(kombinace_1!H1=TRUE,_kombinovane_profily,_vše_profily))</f>
        <v>BRW (elox.) - maksymalna zalecana długość profilu 2500 mm</v>
      </c>
      <c r="L36" s="157" t="str">
        <f t="array" ref="L36:M36">IF(kombinace_1!H1=TRUE,'závěsy dle výklopu'!$BQ$2:$BR$2,
IF(H8=kombinace_1!A41,'závěsy dle výklopu'!$BQ$2,IF(H8=kombinace_1!A42,'závěsy dle výklopu'!$BQ$2,IF(H8=kombinace_1!A65,'závěsy dle výklopu'!$BQ$2,IF(H8=kombinace_1!A66,'závěsy dle výklopu'!$BQ$2,IF(H8=kombinace_1!A67,'závěsy dle výklopu'!$BQ$2,IF(H8=kombinace_1!A68,'závěsy dle výklopu'!$BQ$2,IF(OR(H8='Translate&amp;Prices&amp;Logo'!B66,H8='Translate&amp;Prices&amp;Logo'!B67,H8='Translate&amp;Prices&amp;Logo'!B68,H8='Translate&amp;Prices&amp;Logo'!B69,H8='Translate&amp;Prices&amp;Logo'!B70),"",'závěsy dle výklopu'!$BQ$2:$BR$2))))))))</f>
        <v>Zawiasy</v>
      </c>
      <c r="M36" s="157" t="str">
        <v>Podnośniki</v>
      </c>
      <c r="P36" s="157" t="str" cm="1">
        <f t="array" ref="P36:P38">IF(H13=kombinace_1!BQ11,kombinace_1!$DN$2,kombinace_1!$DN$2:$DN$4)</f>
        <v>Nakładany</v>
      </c>
      <c r="T36" s="157">
        <f t="array" aca="1" ref="T36:T44" ca="1">IF(H13=kombinace_1!BQ11,
  kombinace_1!$FA$2:$FA$9,
  IF(AND(OR(H8=kombinace_1!A41,H8=kombinace_1!A42),H13='závěsy dle výklopu'!BQ4),
    INDIRECT(VLOOKUP(AD42&amp;"_Rocca",kombinace_1!$ER$1:$ES$108,2,0)),
    IF($AU$9=2,
      INDIRECT(VLOOKUP(AD42,kombinace_1!$ER$1:$ES$108,2,0)),
      IF($AU$9=3,
        INDIRECT(VLOOKUP($T$47,kombinace_1!$AA$1:$AB$100,2,0)),
      $Y$48)
    )
  )
)</f>
        <v>0</v>
      </c>
      <c r="AF36" s="157" t="e">
        <f>HLOOKUP($AD$44,'závěsy dle výklopu'!$CG$4:$EZ$10,2,0)</f>
        <v>#N/A</v>
      </c>
      <c r="AJ36" s="157">
        <f t="array" ref="AJ36:AJ40">IF(AM19&lt;2100,kombinace_1!BY8:BY12,kombinace_1!BY8:BY12)</f>
        <v>2</v>
      </c>
      <c r="AW36" s="248"/>
      <c r="AX36" s="248"/>
      <c r="AY36" s="248"/>
    </row>
    <row r="37" spans="1:58" s="157" customFormat="1" ht="15" hidden="1" customHeight="1">
      <c r="A37" s="140"/>
      <c r="B37" s="157" t="str">
        <v>BRW bialy matowy RAL 9003 - maksymalna zalecana długość profilu 2500 mm</v>
      </c>
      <c r="P37" s="157" t="e">
        <v>#N/A</v>
      </c>
      <c r="T37" s="157">
        <f ca="1"/>
        <v>0</v>
      </c>
      <c r="W37" s="157" t="str" cm="1">
        <f t="array" ref="W37">IF(Hlavní!$V$39=3,"",'Translate&amp;Prices&amp;Logo'!B558:B559)</f>
        <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bialy połysk RAL 9003 - maksymalna zalecana długość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szczotkowany - maksymalna zalecana długość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Czarny matowy - maksymalna zalecana długość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czarna szczotka - maksymalna zalecana długość profilu 2500 mm</v>
      </c>
      <c r="L41" s="157" t="str">
        <v xml:space="preserve">Kesseböhmer </v>
      </c>
      <c r="T41" s="157">
        <f ca="1"/>
        <v>0</v>
      </c>
      <c r="U41" s="157">
        <f>IF(Hlavní!$V$39=3,1,2)</f>
        <v>1</v>
      </c>
      <c r="AE41" s="157">
        <f>AF41</f>
        <v>0</v>
      </c>
      <c r="AH41" s="274"/>
      <c r="AI41" s="275" t="s">
        <v>3460</v>
      </c>
      <c r="AJ41" s="275" t="s">
        <v>3461</v>
      </c>
      <c r="AS41" s="157" t="s">
        <v>1198</v>
      </c>
      <c r="AW41" s="248"/>
      <c r="AX41" s="248"/>
      <c r="AY41" s="248"/>
    </row>
    <row r="42" spans="1:58" s="157" customFormat="1" ht="18.600000000000001" hidden="1" customHeight="1">
      <c r="A42" s="140"/>
      <c r="B42" s="157" t="str">
        <v>BRW INOX ACIER gratta - maksymalna zalecana długość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antracyt RAL 7021 - maksymalna zalecana długość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1!FC2=TRUE,500,AJ43))),"")</f>
        <v/>
      </c>
      <c r="AJ43" s="277" t="str">
        <f>IFERROR((IF(kombinace_1!FC2=TRUE,1000,VLOOKUP(H8,'Translate&amp;Prices&amp;Logo'!B6:U84,20,0))),"")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maksymalna zalecana długość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maksymalna zalecana długość profilu 2500 mm</v>
      </c>
      <c r="M45" s="157" t="s">
        <v>2496</v>
      </c>
      <c r="N45" s="157" t="s">
        <v>1039</v>
      </c>
      <c r="AS45" s="133"/>
      <c r="AW45" s="248"/>
      <c r="AX45" s="248"/>
      <c r="AY45" s="248"/>
    </row>
    <row r="46" spans="1:58" s="157" customFormat="1" ht="14.85" hidden="1" customHeight="1">
      <c r="A46" s="140"/>
      <c r="B46" s="157" t="str">
        <v>BRW brąz - maksymalna zalecana długość profilu 2500 mm</v>
      </c>
      <c r="M46" s="157" t="s">
        <v>4254</v>
      </c>
    </row>
    <row r="47" spans="1:58" s="157" customFormat="1" ht="14.85" hidden="1" customHeight="1">
      <c r="A47" s="140"/>
      <c r="B47" s="157" t="str">
        <v>BRW INOX LIJA - maksymalna zalecana długość profilu 2500 mm</v>
      </c>
      <c r="M47" s="157" t="s">
        <v>4255</v>
      </c>
      <c r="T47" s="157" t="str">
        <f>CONCATENATE(H13,"_",VLOOKUP(kombinace_1!H1,kombinace_1!$J$14:$K$15,2,0))</f>
        <v>_2</v>
      </c>
      <c r="AD47" s="157" t="s">
        <v>4253</v>
      </c>
      <c r="AI47" s="112"/>
      <c r="AJ47" s="270"/>
      <c r="AN47" s="581"/>
      <c r="AO47" s="581"/>
      <c r="AP47" s="581"/>
      <c r="AQ47" s="581"/>
    </row>
    <row r="48" spans="1:58" s="157" customFormat="1" ht="14.85" hidden="1" customHeight="1">
      <c r="A48" s="140"/>
      <c r="B48" s="157" t="str">
        <v>BRW kaszmirowy - maksymalna zalecana długość profilu 2500 mm</v>
      </c>
      <c r="T48" s="157" t="e">
        <f>VLOOKUP(AD42,kombinace_1!ER1:ES120,2,0)</f>
        <v>#N/A</v>
      </c>
      <c r="AS48"/>
      <c r="AT48"/>
    </row>
    <row r="49" spans="1:46" s="157" customFormat="1" ht="14.85" hidden="1" customHeight="1">
      <c r="A49" s="140"/>
      <c r="B49" s="157" t="str">
        <v>BRW złota- maksymalna zalecana długość profilu 2500 mm</v>
      </c>
      <c r="AS49"/>
      <c r="AT49"/>
    </row>
    <row r="50" spans="1:46" s="157" customFormat="1" ht="14.85" hidden="1" customHeight="1">
      <c r="A50" s="140"/>
      <c r="B50" s="157" t="str">
        <v>BRW złota szczotkowany - maksymalna zalecana zalecana długość profilu 2500 mm</v>
      </c>
      <c r="AS50"/>
      <c r="AT50"/>
    </row>
    <row r="51" spans="1:46" s="157" customFormat="1" ht="14.85" hidden="1" customHeight="1">
      <c r="A51" s="140"/>
      <c r="B51" s="157" t="str">
        <v>Corleone (elox.)- maksymalna zalecana długość profilu 1500 mm</v>
      </c>
      <c r="AS51"/>
      <c r="AT51"/>
    </row>
    <row r="52" spans="1:46" s="157" customFormat="1" ht="14.85" hidden="1" customHeight="1">
      <c r="A52" s="140"/>
      <c r="B52" s="157" t="str">
        <v>Corleone czarny matowy - maksymalna zalecana długość profilu 1500 mm</v>
      </c>
      <c r="AS52"/>
      <c r="AT52"/>
    </row>
    <row r="53" spans="1:46" s="157" customFormat="1" ht="14.85" hidden="1" customHeight="1">
      <c r="A53" s="140"/>
      <c r="B53" s="157" t="str">
        <v>ASTI  czarne  - maksymalna zalecana długość profilu 2150</v>
      </c>
      <c r="AS53"/>
      <c r="AT53"/>
    </row>
    <row r="54" spans="1:46" s="157" customFormat="1" ht="14.85" hidden="1" customHeight="1">
      <c r="A54" s="140"/>
      <c r="B54" s="157" t="str">
        <v>ASTI  antracyt mat RAL 7021 mat lakier - maksymalna zalecana długość profilu 2500 mm</v>
      </c>
      <c r="K54" s="157" t="str">
        <f t="array" ref="K54:K58">IF(OR($H$15=kombinace_1!AB40,$H$15=kombinace_1!AB7,$H$15=kombinace_1!AB15,$H$15=kombinace_1!AB20,$H$15=kombinace_1!AB21,$H$15=kombinace_1!AB22),'Translate&amp;Prices&amp;Logo'!$B$231:$B$233,IF($H$15=kombinace_1!AB41,'Translate&amp;Prices&amp;Logo'!$B$231:$B$233,'Translate&amp;Prices&amp;Logo'!$B$235:$B$239))</f>
        <v>Wąska ALU ramka</v>
      </c>
      <c r="T54" s="157" t="str">
        <f t="array" ref="T54:T56">kombinace_1!$EN$3:$EN$5</f>
        <v>Bez modyfikacji</v>
      </c>
      <c r="U54" s="157">
        <v>1</v>
      </c>
      <c r="X54" s="157" t="str">
        <f t="array" ref="X54:X56">kombinace_1!$X$3:$X$5</f>
        <v>transparentna</v>
      </c>
      <c r="AD54" s="157" t="e" cm="1">
        <f t="array" aca="1" ref="AD54" ca="1">IF(kombinace_1!FC2=FALSE,
INDIRECT(kombinace_1!S1),
IF(kombinace_1!FC2=TRUE,INDIRECT(VLOOKUP(Ram_1!H8,'závěsy dle výklopu'!A81:B90,2,0)),0))</f>
        <v>#N/A</v>
      </c>
      <c r="AS54"/>
      <c r="AT54"/>
    </row>
    <row r="55" spans="1:46" s="157" customFormat="1" ht="14.85" hidden="1" customHeight="1">
      <c r="A55" s="140"/>
      <c r="B55" s="157" t="str">
        <v>Imola (elox.) - maksymalna zalecana długość profilu 2500 mm</v>
      </c>
      <c r="K55" s="157" t="str">
        <v>Szeroka ALU ramka</v>
      </c>
      <c r="T55" s="157" t="str">
        <v>Hartowane (termin dostawy 4 tygodnie)</v>
      </c>
      <c r="U55" s="157">
        <v>2</v>
      </c>
      <c r="X55" s="157" t="str">
        <v>Biała</v>
      </c>
      <c r="AS55"/>
      <c r="AT55"/>
    </row>
    <row r="56" spans="1:46" s="157" customFormat="1" ht="14.85" hidden="1" customHeight="1">
      <c r="A56" s="140"/>
      <c r="B56" s="157" t="str">
        <v>Imola Czarny matowy - maksymalna zalecana długość profilu 2500 mm</v>
      </c>
      <c r="K56" s="157" t="str">
        <v>MDF grubość 16mm</v>
      </c>
      <c r="T56" s="157" t="str">
        <v>Folia</v>
      </c>
      <c r="U56" s="157">
        <v>3</v>
      </c>
      <c r="X56" s="157" t="str">
        <v>czarna</v>
      </c>
    </row>
    <row r="57" spans="1:46" s="157" customFormat="1" ht="14.85" hidden="1" customHeight="1">
      <c r="A57" s="140"/>
      <c r="B57" s="157" t="str">
        <v>Imola bialy matowy RAL 9003 - maksymalna zalecana długość profilu 2500 mm</v>
      </c>
      <c r="K57" s="157" t="str">
        <v>MDF grubość 18mm</v>
      </c>
    </row>
    <row r="58" spans="1:46" s="157" customFormat="1" ht="14.85" hidden="1" customHeight="1">
      <c r="A58" s="140"/>
      <c r="B58" s="157" t="str">
        <v>Imola złota - maksymalna zalecana zalecana długość profilu 2150 mm</v>
      </c>
      <c r="K58" s="157" t="str">
        <v>Płyta melaminowana grubość 18mm</v>
      </c>
    </row>
    <row r="59" spans="1:46" s="157" customFormat="1" ht="14.85" hidden="1" customHeight="1">
      <c r="A59" s="140"/>
      <c r="B59" s="157" t="str">
        <v>Modena (elox.) - maksymalna zalecana długość profilu 2500 mm</v>
      </c>
      <c r="T59" s="157">
        <f>IFERROR(VLOOKUP($H$21,$T$54:$U$56,2,0),0)</f>
        <v>0</v>
      </c>
    </row>
    <row r="60" spans="1:46" s="157" customFormat="1" ht="14.85" hidden="1" customHeight="1">
      <c r="A60" s="140"/>
      <c r="B60" s="157" t="str">
        <v>Modena Czarny matowy - maksymalna zalecana długość profilu 2500 mm</v>
      </c>
      <c r="K60" s="157" t="b">
        <f>K56=K61</f>
        <v>0</v>
      </c>
    </row>
    <row r="61" spans="1:46" s="157" customFormat="1" ht="14.85" hidden="1" customHeight="1">
      <c r="A61" s="140"/>
      <c r="B61" s="157" t="str">
        <v>Modena czarna szczotka - maksymalna zalecana długość profilu 2500 mm</v>
      </c>
      <c r="H61" s="157" t="str">
        <f>'Translate&amp;Prices&amp;Logo'!$B$188</f>
        <v>Dolne drzwi</v>
      </c>
      <c r="K61" s="157" t="str">
        <f>'Translate&amp;Prices&amp;Logo'!$B$233</f>
        <v>2 sztuki (obydwie strony)</v>
      </c>
    </row>
    <row r="62" spans="1:46" s="157" customFormat="1" ht="14.85" hidden="1" customHeight="1">
      <c r="A62" s="140"/>
      <c r="B62" s="157" t="str">
        <v>Modena INOX LIJA - maksymalna zalecana długość profilu 2500 mm</v>
      </c>
    </row>
    <row r="63" spans="1:46" s="157" customFormat="1" ht="14.85" hidden="1" customHeight="1">
      <c r="A63" s="140"/>
      <c r="B63" s="157" t="str">
        <v>Modena brąz - maksymalna zalecana długość profilu 2500 mm</v>
      </c>
    </row>
    <row r="64" spans="1:46" s="157" customFormat="1" ht="14.85" hidden="1" customHeight="1">
      <c r="A64" s="140"/>
      <c r="B64" s="157" t="str">
        <v>Pisa (elox.) - maksymalna zalecana długość profilu 2500 mm</v>
      </c>
    </row>
    <row r="65" spans="1:15" s="157" customFormat="1" ht="14.85" hidden="1" customHeight="1">
      <c r="A65" s="140"/>
      <c r="B65" s="157" t="str">
        <v>Pisa biały matowy RAL 9003 - maksymalna zalecana zalecana długość profilu 2500 mm</v>
      </c>
      <c r="H65" s="33" t="str">
        <f>'rozpad závěsů bez prázdn. řádků'!$K$1</f>
        <v>krzyżakowy, wkręt</v>
      </c>
      <c r="I65" s="159">
        <v>6</v>
      </c>
      <c r="J65" s="32" t="e">
        <f>VLOOKUP($H$15,'rozpad závěsů bez prázdn. řádků'!$G$2:$X$66,I65,0)</f>
        <v>#N/A</v>
      </c>
      <c r="O65" s="157" t="str" cm="1">
        <f t="array" ref="O65:O66">IF($H$15=kombinace_1!$AB$40,_strong_vzpera_horni,IF($H$15=kombinace_1!$AB$41,_stronglift_klopna,IF($H$12='závěsy dle výklopu'!$BQ$2,$J$65:$J$71,'Translate&amp;Prices&amp;Logo'!$B$187:$B$188)))</f>
        <v>Górne drzwi</v>
      </c>
    </row>
    <row r="66" spans="1:15" s="157" customFormat="1" ht="14.85" hidden="1" customHeight="1">
      <c r="A66" s="140"/>
      <c r="B66" s="157" t="str">
        <v>Pisa biały połysk RAL 9003 - maksymalna zalecana zalecana długość profilu 2500 mm</v>
      </c>
      <c r="H66" s="33" t="str">
        <f>'rozpad závěsů bez prázdn. řádků'!$M$1</f>
        <v>na wkręt (z mimośrodem)</v>
      </c>
      <c r="I66" s="159">
        <v>8</v>
      </c>
      <c r="J66" s="32" t="e">
        <f>VLOOKUP($H$15,'rozpad závěsů bez prázdn. řádků'!$G$2:$X$66,I66,0)</f>
        <v>#N/A</v>
      </c>
      <c r="O66" s="157" t="str">
        <v>Dolne drzwi</v>
      </c>
    </row>
    <row r="67" spans="1:15" s="157" customFormat="1" ht="14.85" hidden="1" customHeight="1">
      <c r="A67" s="140"/>
      <c r="B67" s="157" t="str">
        <v>Pisa Czarny matowy - maksymalna zalecana długość profilu 2500 mm</v>
      </c>
      <c r="H67" s="33" t="str">
        <f>'rozpad závěsů bez prázdn. řádků'!$O$1</f>
        <v>krzyżakowy eurowkręt</v>
      </c>
      <c r="I67" s="159">
        <v>10</v>
      </c>
      <c r="J67" s="32" t="e">
        <f>VLOOKUP($H$15,'rozpad závěsů bez prázdn. řádků'!$G$2:$X$66,I67,0)</f>
        <v>#N/A</v>
      </c>
    </row>
    <row r="68" spans="1:15" s="157" customFormat="1" ht="14.85" hidden="1" customHeight="1">
      <c r="A68" s="140"/>
      <c r="B68" s="157" t="str">
        <v>Pisa złota - maksymalna zalecana długość profilu 2150 mm</v>
      </c>
      <c r="H68" s="33" t="str">
        <f>'rozpad závěsů bez prázdn. řádků'!$Q$1</f>
        <v>krzyżakowy expando</v>
      </c>
      <c r="I68" s="159">
        <v>12</v>
      </c>
      <c r="J68" s="32" t="e">
        <f>VLOOKUP($H$15,'rozpad závěsů bez prázdn. řádků'!$G$2:$X$66,I68,0)</f>
        <v>#N/A</v>
      </c>
    </row>
    <row r="69" spans="1:15" s="157" customFormat="1" ht="14.85" hidden="1" customHeight="1">
      <c r="A69" s="140"/>
      <c r="B69" s="157" t="str">
        <v>Rimini elox naturalna - maksymalna długość profilu 1100 mm</v>
      </c>
      <c r="H69" s="33" t="str">
        <f>'rozpad závěsů bez prázdn. řádků'!$S$1</f>
        <v>prosty wkręt</v>
      </c>
      <c r="I69" s="159">
        <v>14</v>
      </c>
      <c r="J69" s="32" t="e">
        <f>VLOOKUP($H$15,'rozpad závěsů bez prázdn. řádků'!$G$2:$X$66,I69,0)</f>
        <v>#N/A</v>
      </c>
    </row>
    <row r="70" spans="1:15" s="157" customFormat="1" ht="14.85" hidden="1" customHeight="1">
      <c r="A70" s="140"/>
      <c r="B70" s="157" t="str">
        <v>Rimini czarny mat - maksymalna długość profilu 1100 mm</v>
      </c>
      <c r="H70" s="33" t="str">
        <f>'rozpad závěsů bez prázdn. řádků'!$U$1</f>
        <v>prosty eurowkręt</v>
      </c>
      <c r="I70" s="159">
        <v>16</v>
      </c>
      <c r="J70" s="32" t="e">
        <f>VLOOKUP($H$15,'rozpad závěsů bez prázdn. řádků'!$G$2:$X$66,I70,0)</f>
        <v>#N/A</v>
      </c>
    </row>
    <row r="71" spans="1:15" s="157" customFormat="1" ht="14.85" hidden="1" customHeight="1">
      <c r="A71" s="140"/>
      <c r="B71" s="157" t="str">
        <v>Rimini champagne - maksymalna długość profilu 1100 mm</v>
      </c>
      <c r="H71" s="33" t="str">
        <f>'rozpad závěsů bez prázdn. řádků'!$W$1</f>
        <v>prosty expando</v>
      </c>
      <c r="I71" s="159">
        <v>18</v>
      </c>
      <c r="J71" s="32" t="e">
        <f>VLOOKUP($H$15,'rozpad závěsů bez prázdn. řádků'!$G$2:$X$66,I71,0)</f>
        <v>#N/A</v>
      </c>
    </row>
    <row r="72" spans="1:15" s="157" customFormat="1" ht="14.85" hidden="1" customHeight="1">
      <c r="A72" s="140"/>
      <c r="B72" s="157" t="str">
        <v>Rimini zlota - maksymalna długość profilu 1100 mm</v>
      </c>
    </row>
    <row r="73" spans="1:15" s="157" customFormat="1" ht="14.85" hidden="1" customHeight="1">
      <c r="A73" s="140"/>
      <c r="B73" s="157" t="str">
        <v>Rimini zlota szczotkowana - maksymalna długość profilu 1100 mm</v>
      </c>
    </row>
    <row r="74" spans="1:15" s="157" customFormat="1" ht="14.85" hidden="1" customHeight="1">
      <c r="A74" s="140"/>
      <c r="B74" s="157" t="str">
        <v>Rocca (elox.) - maksymalna zalecana zalecana długość profilu 2150 mm</v>
      </c>
    </row>
    <row r="75" spans="1:15" s="157" customFormat="1" ht="14.85" hidden="1" customHeight="1">
      <c r="A75" s="140"/>
      <c r="B75" s="157" t="str">
        <v>Rocca czarny matowy - maksymalna zalecana zalecana długość profilu 2150 mm</v>
      </c>
    </row>
    <row r="76" spans="1:15" s="157" customFormat="1" ht="14.85" hidden="1" customHeight="1">
      <c r="A76" s="140"/>
      <c r="B76" s="157" t="str">
        <v>Treviso czarny matowy - maksymalna zalecana długość profilu 2750 mm</v>
      </c>
    </row>
    <row r="77" spans="1:15" s="157" customFormat="1" ht="14.85" hidden="1" customHeight="1">
      <c r="A77" s="140"/>
      <c r="B77" s="157" t="str">
        <v>Verona (elox.) - maksymalna zalecana zalecana długość profilu 2500 mm</v>
      </c>
    </row>
    <row r="78" spans="1:15" s="157" customFormat="1" ht="14.85" hidden="1" customHeight="1">
      <c r="A78" s="140"/>
      <c r="B78" s="157" t="str">
        <v>Verona szczotkowany - maksymalna zalecana zalecana długość profilu 2500 mm</v>
      </c>
    </row>
    <row r="79" spans="1:15" s="157" customFormat="1" ht="14.85" hidden="1" customHeight="1">
      <c r="A79" s="140"/>
      <c r="B79" s="157" t="str">
        <v>Verona czarny matowy - maksymalna zalecana zalecana długość profilu 2500 mm</v>
      </c>
    </row>
    <row r="80" spans="1:15" s="157" customFormat="1" ht="14.85" hidden="1" customHeight="1">
      <c r="A80" s="140"/>
      <c r="B80" s="157" t="str">
        <v>Verona czarny połysk - maksymalna zalecana zalecana długość profilu 2500 mm</v>
      </c>
    </row>
    <row r="81" spans="1:38" s="157" customFormat="1" ht="14.85" hidden="1" customHeight="1">
      <c r="A81" s="140"/>
      <c r="B81" s="157" t="str">
        <v>Verona braz - maksymalna zalecana zalecana długość profilu 2500 mm</v>
      </c>
    </row>
    <row r="82" spans="1:38" s="157" customFormat="1" ht="14.85" hidden="1" customHeight="1">
      <c r="A82" s="140"/>
      <c r="B82" s="157" t="str">
        <v>Verona szampański - maksymalna zalecana zalecana długość profilu 2500 mm</v>
      </c>
      <c r="P82" s="157" t="str" cm="1">
        <f t="array" ref="P82:P85">IF(OR(H8=kombinace_1!F18,H8=kombinace_1!F19,H8=kombinace_1!A65,H8=kombinace_1!A66,H8=kombinace_1!A67,H8=kombinace_1!A68),_2_strany,IF(H15=kombinace_1!AB8,_ramena_HL,_4_strany))</f>
        <v>W górę</v>
      </c>
    </row>
    <row r="83" spans="1:38" ht="14.85" hidden="1" customHeight="1">
      <c r="B83" s="138" t="str">
        <v>Verona Inox szczotkowany (Inox Lija)- maksymalna zalecana zalecana długość profilu 2500 mm</v>
      </c>
      <c r="C83" s="140"/>
      <c r="D83" s="140"/>
      <c r="E83" s="140"/>
      <c r="F83" s="140"/>
      <c r="G83" s="140"/>
      <c r="H83" s="140"/>
      <c r="I83" s="140"/>
      <c r="J83" s="140"/>
      <c r="K83" s="140"/>
      <c r="L83" s="140"/>
      <c r="M83" s="140"/>
      <c r="N83" s="140"/>
      <c r="O83" s="138"/>
      <c r="P83" s="140" t="str">
        <v>W dół</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Acier Gratta - maksymalna zalecana zalecana długość profilu 2500 mm</v>
      </c>
      <c r="C84" s="140"/>
      <c r="D84" s="140"/>
      <c r="E84" s="140"/>
      <c r="F84" s="140"/>
      <c r="G84" s="140"/>
      <c r="H84" s="140"/>
      <c r="I84" s="140"/>
      <c r="J84" s="140"/>
      <c r="K84" s="140"/>
      <c r="L84" s="140"/>
      <c r="M84" s="140"/>
      <c r="N84" s="140"/>
      <c r="O84" s="138"/>
      <c r="P84" s="140" t="str">
        <v>W prawo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maksymalna zalecana zalecana długość profilu 2150 mm</v>
      </c>
      <c r="C85" s="140"/>
      <c r="D85" s="140"/>
      <c r="E85" s="140"/>
      <c r="F85" s="140"/>
      <c r="G85" s="140"/>
      <c r="H85" s="140"/>
      <c r="I85" s="140"/>
      <c r="J85" s="140"/>
      <c r="K85" s="140"/>
      <c r="L85" s="140"/>
      <c r="M85" s="140"/>
      <c r="N85" s="140"/>
      <c r="O85" s="140"/>
      <c r="P85" s="140" t="str">
        <v>W lewo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kaszmirowy - maksymalna zalecana długość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złota - maksymalna zalecana długość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złota szczotkowany - maksymalna zalecana zalecana długość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maksymalna zalecana zalecana długość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czarny matowy - maksymalna zalecana zalecana długość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LIJA - maksymalna zalecana zalecana długość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biały matowy RAL 9003 - maksymalna zalecana zalecana długość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biały połysk RAL 9003 - maksymalna zalecana zalecana długość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złota - maksymalna zalecana zalecana długość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złota szczotkowany - maksymalna zalecana zalecana długość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(lewa i prawa) + Varna elox (góra i dół)</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czarny (lewa i prawa) + Varna czarny (góra i dół)</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czarna matowa -  maksymalna zalecana długość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maksymalna zalecana długość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czarna matowa - maksymalna zalecana długość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maksymalna zalecana długość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sheetData>
  <sheetProtection algorithmName="SHA-512" hashValue="/CjjUiucPqN0VJ9KntJPO5TmWLv/K3sbzx2jCwGmUvWEZakwb+Zm6jsZYnGDiuWzt5nbPsR03880QXI2+T5Okg==" saltValue="nIfsop35unAR0hqMq5iyrQ==" spinCount="100000" sheet="1" objects="1" scenarios="1"/>
  <protectedRanges>
    <protectedRange sqref="G7 I7:R7" name="Oblast1"/>
  </protectedRanges>
  <dataConsolidate/>
  <mergeCells count="99">
    <mergeCell ref="B33:K34"/>
    <mergeCell ref="L33:Q34"/>
    <mergeCell ref="V34:W34"/>
    <mergeCell ref="J20:M20"/>
    <mergeCell ref="AC24:AG24"/>
    <mergeCell ref="B25:F25"/>
    <mergeCell ref="B26:F26"/>
    <mergeCell ref="H25:Q25"/>
    <mergeCell ref="P29:Q29"/>
    <mergeCell ref="D29:O29"/>
    <mergeCell ref="AE10:AE16"/>
    <mergeCell ref="R33:S33"/>
    <mergeCell ref="R34:S34"/>
    <mergeCell ref="B17:F17"/>
    <mergeCell ref="B12:F12"/>
    <mergeCell ref="B19:F19"/>
    <mergeCell ref="H13:Q13"/>
    <mergeCell ref="S25:Y31"/>
    <mergeCell ref="S24:U24"/>
    <mergeCell ref="H27:Q27"/>
    <mergeCell ref="P30:Q31"/>
    <mergeCell ref="B30:J31"/>
    <mergeCell ref="B27:F27"/>
    <mergeCell ref="B28:F28"/>
    <mergeCell ref="K30:K31"/>
    <mergeCell ref="B24:F24"/>
    <mergeCell ref="G7:Q7"/>
    <mergeCell ref="AI30:AK30"/>
    <mergeCell ref="AJ26:AJ27"/>
    <mergeCell ref="AC25:AD25"/>
    <mergeCell ref="L30:O31"/>
    <mergeCell ref="H26:Q26"/>
    <mergeCell ref="AF30:AH30"/>
    <mergeCell ref="AB29:AO29"/>
    <mergeCell ref="AL19:AL25"/>
    <mergeCell ref="AM23:AM25"/>
    <mergeCell ref="AM14:AM21"/>
    <mergeCell ref="AF25:AK25"/>
    <mergeCell ref="H24:Q24"/>
    <mergeCell ref="H23:Q23"/>
    <mergeCell ref="H12:Q12"/>
    <mergeCell ref="H18:Q18"/>
    <mergeCell ref="V5:X5"/>
    <mergeCell ref="B13:F13"/>
    <mergeCell ref="B15:F15"/>
    <mergeCell ref="B32:Q32"/>
    <mergeCell ref="H28:Q28"/>
    <mergeCell ref="R5:T5"/>
    <mergeCell ref="B21:F21"/>
    <mergeCell ref="F20:I20"/>
    <mergeCell ref="H19:Q19"/>
    <mergeCell ref="H17:Q17"/>
    <mergeCell ref="F16:I16"/>
    <mergeCell ref="B18:F18"/>
    <mergeCell ref="B16:E16"/>
    <mergeCell ref="B9:F9"/>
    <mergeCell ref="B11:F11"/>
    <mergeCell ref="B20:E20"/>
    <mergeCell ref="AC9:AD9"/>
    <mergeCell ref="AD10:AD12"/>
    <mergeCell ref="M11:Q11"/>
    <mergeCell ref="B14:F14"/>
    <mergeCell ref="AD14:AD21"/>
    <mergeCell ref="AB19:AC19"/>
    <mergeCell ref="H14:Q14"/>
    <mergeCell ref="S18:Y23"/>
    <mergeCell ref="S13:Y17"/>
    <mergeCell ref="H15:Q15"/>
    <mergeCell ref="S8:Y9"/>
    <mergeCell ref="S10:Y12"/>
    <mergeCell ref="N20:Q20"/>
    <mergeCell ref="N16:Q16"/>
    <mergeCell ref="J16:M16"/>
    <mergeCell ref="H21:Q21"/>
    <mergeCell ref="A2:AJ3"/>
    <mergeCell ref="M10:Q10"/>
    <mergeCell ref="H9:Q9"/>
    <mergeCell ref="H11:L11"/>
    <mergeCell ref="H10:L10"/>
    <mergeCell ref="B5:D5"/>
    <mergeCell ref="F5:H5"/>
    <mergeCell ref="J5:L5"/>
    <mergeCell ref="N5:P5"/>
    <mergeCell ref="AB4:AN5"/>
    <mergeCell ref="B7:F7"/>
    <mergeCell ref="AF9:AK9"/>
    <mergeCell ref="AC8:AG8"/>
    <mergeCell ref="AJ7:AJ8"/>
    <mergeCell ref="S7:U7"/>
    <mergeCell ref="H8:Q8"/>
    <mergeCell ref="AN47:AO47"/>
    <mergeCell ref="AP47:AQ47"/>
    <mergeCell ref="BI3:BM3"/>
    <mergeCell ref="AP2:AS3"/>
    <mergeCell ref="BD3:BH3"/>
    <mergeCell ref="AO31:AR32"/>
    <mergeCell ref="AR19:AR23"/>
    <mergeCell ref="AN19:AO19"/>
    <mergeCell ref="AR14:AR18"/>
  </mergeCells>
  <conditionalFormatting sqref="B5 F5 J5 N5 R5 V5">
    <cfRule type="cellIs" dxfId="444" priority="62" operator="equal">
      <formula>$A$2</formula>
    </cfRule>
  </conditionalFormatting>
  <conditionalFormatting sqref="B16:I16">
    <cfRule type="expression" dxfId="443" priority="322">
      <formula>$AU$19=0</formula>
    </cfRule>
  </conditionalFormatting>
  <conditionalFormatting sqref="B9:Q9">
    <cfRule type="expression" dxfId="442" priority="98">
      <formula>$B$9=0</formula>
    </cfRule>
  </conditionalFormatting>
  <conditionalFormatting sqref="B11:Q11">
    <cfRule type="expression" dxfId="441" priority="303">
      <formula>$AU$10=0</formula>
    </cfRule>
  </conditionalFormatting>
  <conditionalFormatting sqref="B14:Q14">
    <cfRule type="expression" dxfId="440" priority="96">
      <formula>$B$14=0</formula>
    </cfRule>
  </conditionalFormatting>
  <conditionalFormatting sqref="B17:Q17">
    <cfRule type="expression" dxfId="439" priority="90">
      <formula>$B$17=0</formula>
    </cfRule>
  </conditionalFormatting>
  <conditionalFormatting sqref="B18:Q18">
    <cfRule type="expression" dxfId="438" priority="40" stopIfTrue="1">
      <formula>$B$18=0</formula>
    </cfRule>
    <cfRule type="expression" dxfId="437" priority="43">
      <formula>$F$16=$H$61</formula>
    </cfRule>
  </conditionalFormatting>
  <conditionalFormatting sqref="B19:Q19">
    <cfRule type="expression" dxfId="436" priority="89">
      <formula>$B$19=0</formula>
    </cfRule>
  </conditionalFormatting>
  <conditionalFormatting sqref="B20:Q20">
    <cfRule type="expression" dxfId="435" priority="64">
      <formula>$B$19=0</formula>
    </cfRule>
    <cfRule type="expression" dxfId="434" priority="63">
      <formula>$B$20=0</formula>
    </cfRule>
  </conditionalFormatting>
  <conditionalFormatting sqref="B21:Q21">
    <cfRule type="expression" dxfId="433" priority="15">
      <formula>$B$21=" "</formula>
    </cfRule>
  </conditionalFormatting>
  <conditionalFormatting sqref="B24:Q24">
    <cfRule type="expression" dxfId="432" priority="47" stopIfTrue="1">
      <formula>$T$59&lt;3</formula>
    </cfRule>
  </conditionalFormatting>
  <conditionalFormatting sqref="H23">
    <cfRule type="expression" dxfId="431" priority="265">
      <formula>$H$25&gt;0</formula>
    </cfRule>
  </conditionalFormatting>
  <conditionalFormatting sqref="H10:L11">
    <cfRule type="expression" dxfId="430" priority="58">
      <formula>$AU$10=2</formula>
    </cfRule>
  </conditionalFormatting>
  <conditionalFormatting sqref="H10:Q10">
    <cfRule type="expression" dxfId="429" priority="57">
      <formula>$AU$10=0</formula>
    </cfRule>
  </conditionalFormatting>
  <conditionalFormatting sqref="H22:Q22 B22:G23">
    <cfRule type="expression" dxfId="428" priority="52">
      <formula>$AS$33=1</formula>
    </cfRule>
  </conditionalFormatting>
  <conditionalFormatting sqref="J16:M16">
    <cfRule type="expression" dxfId="427" priority="42" stopIfTrue="1">
      <formula>$K$60=TRUE</formula>
    </cfRule>
  </conditionalFormatting>
  <conditionalFormatting sqref="J16:N16">
    <cfRule type="expression" dxfId="426" priority="45" stopIfTrue="1">
      <formula>$AV$19=0</formula>
    </cfRule>
  </conditionalFormatting>
  <conditionalFormatting sqref="M10:Q11">
    <cfRule type="expression" dxfId="425" priority="56">
      <formula>$AU$10=1</formula>
    </cfRule>
  </conditionalFormatting>
  <conditionalFormatting sqref="N16:Q16">
    <cfRule type="expression" dxfId="424" priority="41" stopIfTrue="1">
      <formula>$K$60=TRUE</formula>
    </cfRule>
  </conditionalFormatting>
  <conditionalFormatting sqref="P29:Q29">
    <cfRule type="expression" dxfId="423" priority="1">
      <formula>$U$41=2</formula>
    </cfRule>
  </conditionalFormatting>
  <conditionalFormatting sqref="AA9:AA10 AA24:AA25">
    <cfRule type="expression" dxfId="422" priority="19" stopIfTrue="1">
      <formula>$AU$17=1</formula>
    </cfRule>
  </conditionalFormatting>
  <conditionalFormatting sqref="AA16:AA17">
    <cfRule type="expression" dxfId="421" priority="11" stopIfTrue="1">
      <formula>$AU$24="1_3"</formula>
    </cfRule>
  </conditionalFormatting>
  <conditionalFormatting sqref="AB6 AA6:AA7 AA27 AA28:AB28">
    <cfRule type="expression" dxfId="420" priority="8" stopIfTrue="1">
      <formula>$AV$17=1</formula>
    </cfRule>
  </conditionalFormatting>
  <conditionalFormatting sqref="AB29:AO29">
    <cfRule type="cellIs" dxfId="419" priority="4" operator="equal">
      <formula>0</formula>
    </cfRule>
  </conditionalFormatting>
  <conditionalFormatting sqref="AC6:AD6 AM6:AN6">
    <cfRule type="expression" dxfId="418" priority="23" stopIfTrue="1">
      <formula>$AU$17=3</formula>
    </cfRule>
  </conditionalFormatting>
  <conditionalFormatting sqref="AC25:AD25 AJ26:AJ27">
    <cfRule type="expression" dxfId="417" priority="274">
      <formula>$AU$25=4</formula>
    </cfRule>
  </conditionalFormatting>
  <conditionalFormatting sqref="AC28:AD28 AM28:AN28">
    <cfRule type="expression" dxfId="416" priority="22" stopIfTrue="1">
      <formula>$AU$17=4</formula>
    </cfRule>
  </conditionalFormatting>
  <conditionalFormatting sqref="AC8:AG8">
    <cfRule type="expression" dxfId="415" priority="286">
      <formula>$AU$25=3</formula>
    </cfRule>
  </conditionalFormatting>
  <conditionalFormatting sqref="AC24:AG24">
    <cfRule type="expression" dxfId="414" priority="283">
      <formula>$AU$25=4</formula>
    </cfRule>
  </conditionalFormatting>
  <conditionalFormatting sqref="AD10:AD12 AB19:AC19">
    <cfRule type="expression" dxfId="413" priority="268">
      <formula>$AU$25=1</formula>
    </cfRule>
  </conditionalFormatting>
  <conditionalFormatting sqref="AD14:AD21">
    <cfRule type="expression" dxfId="412" priority="267">
      <formula>$AU$25=1</formula>
    </cfRule>
  </conditionalFormatting>
  <conditionalFormatting sqref="AE10:AE16">
    <cfRule type="expression" dxfId="411" priority="284">
      <formula>$AU$25=1</formula>
    </cfRule>
  </conditionalFormatting>
  <conditionalFormatting sqref="AF9:AK9">
    <cfRule type="expression" dxfId="410" priority="271">
      <formula>$AU$25=3</formula>
    </cfRule>
  </conditionalFormatting>
  <conditionalFormatting sqref="AF25:AK25">
    <cfRule type="expression" dxfId="409" priority="273">
      <formula>$AU$25=4</formula>
    </cfRule>
  </conditionalFormatting>
  <conditionalFormatting sqref="AG6:AH6">
    <cfRule type="expression" dxfId="408" priority="17" stopIfTrue="1">
      <formula>$AU$24="3_3"</formula>
    </cfRule>
  </conditionalFormatting>
  <conditionalFormatting sqref="AG28:AH28">
    <cfRule type="expression" dxfId="407" priority="16" stopIfTrue="1">
      <formula>$AU$24="4_3"</formula>
    </cfRule>
  </conditionalFormatting>
  <conditionalFormatting sqref="AJ7:AJ8 AC9:AD9">
    <cfRule type="expression" dxfId="406" priority="272">
      <formula>$AU$25=3</formula>
    </cfRule>
  </conditionalFormatting>
  <conditionalFormatting sqref="AL19:AL25">
    <cfRule type="expression" dxfId="405" priority="285">
      <formula>$AU$25=2</formula>
    </cfRule>
  </conditionalFormatting>
  <conditionalFormatting sqref="AM14:AM21">
    <cfRule type="expression" dxfId="404" priority="269">
      <formula>$AU$25=2</formula>
    </cfRule>
  </conditionalFormatting>
  <conditionalFormatting sqref="AN19:AO19 AM23:AM25">
    <cfRule type="expression" dxfId="403" priority="270">
      <formula>$AU$25=2</formula>
    </cfRule>
  </conditionalFormatting>
  <conditionalFormatting sqref="AO6 AP6:AP7 AP27 AO28:AP28">
    <cfRule type="expression" dxfId="402" priority="7" stopIfTrue="1">
      <formula>$AV$17=2</formula>
    </cfRule>
  </conditionalFormatting>
  <conditionalFormatting sqref="AP9:AP10 AP24:AP25">
    <cfRule type="expression" dxfId="401" priority="18" stopIfTrue="1">
      <formula>$AU$17=2</formula>
    </cfRule>
  </conditionalFormatting>
  <conditionalFormatting sqref="AP16:AP17">
    <cfRule type="expression" dxfId="400" priority="26" stopIfTrue="1">
      <formula>$AU$24="2_3"</formula>
    </cfRule>
  </conditionalFormatting>
  <dataValidations count="20">
    <dataValidation type="whole" allowBlank="1" showInputMessage="1" showErrorMessage="1" errorTitle="Minimum 80 mm" sqref="F20:I20 N20:Q20" xr:uid="{2ECB2B72-CA16-4691-B14C-FC5C9430B0E6}">
      <formula1>80</formula1>
      <formula2>1300</formula2>
    </dataValidation>
    <dataValidation type="whole" allowBlank="1" showInputMessage="1" showErrorMessage="1" sqref="M11:Q11" xr:uid="{73AAA112-557B-4EE9-882B-347EC01AD943}">
      <formula1>1</formula1>
      <formula2>(AI30/100)-1</formula2>
    </dataValidation>
    <dataValidation type="whole" allowBlank="1" showInputMessage="1" showErrorMessage="1" sqref="H11:L11" xr:uid="{F9F51350-2891-42FD-870E-032E8733616F}">
      <formula1>1</formula1>
      <formula2>(AR14/100)-1</formula2>
    </dataValidation>
    <dataValidation type="whole" operator="greaterThanOrEqual" allowBlank="1" showInputMessage="1" showErrorMessage="1" sqref="H26:Q26" xr:uid="{1CAB1EA5-0D14-4A72-90E6-2181BA6CF0A4}">
      <formula1>1</formula1>
    </dataValidation>
    <dataValidation type="list" allowBlank="1" showInputMessage="1" showErrorMessage="1" sqref="H8:Q8" xr:uid="{737A7DDB-E8AE-4F11-9098-4FA83ADD47FC}">
      <formula1>B36:B101</formula1>
    </dataValidation>
    <dataValidation type="list" allowBlank="1" showInputMessage="1" showErrorMessage="1" sqref="H12:Q12" xr:uid="{9A72BB48-FEA0-4F2E-8E48-BEE3B61A01A6}">
      <formula1>$L$36:$M$36</formula1>
    </dataValidation>
    <dataValidation type="list" allowBlank="1" showInputMessage="1" showErrorMessage="1" sqref="H13:Q13" xr:uid="{2DC03141-0C81-4126-82DF-C9D9EF1A8E9A}">
      <formula1>IF(M38="Salice",$L$38,$L$38:$L$42)</formula1>
    </dataValidation>
    <dataValidation type="list" allowBlank="1" showInputMessage="1" showErrorMessage="1" sqref="H14:Q14" xr:uid="{B36E2FC8-2807-4195-99C8-CD2E91361B2C}">
      <formula1>$P$36:$P$38</formula1>
    </dataValidation>
    <dataValidation type="list" allowBlank="1" showInputMessage="1" showErrorMessage="1" sqref="N16:Q16" xr:uid="{5606A985-9E8B-4C83-B947-EB7C778CADCE}">
      <formula1>$K$54:$K$58</formula1>
    </dataValidation>
    <dataValidation type="list" allowBlank="1" showInputMessage="1" showErrorMessage="1" sqref="H19:Q19" xr:uid="{1CA35873-1EAC-4ED9-930D-461EB90A4AE7}">
      <formula1>IF(H13="Salice",$AJ$36,($AJ$36:$AJ$40))</formula1>
    </dataValidation>
    <dataValidation type="list" allowBlank="1" showInputMessage="1" showErrorMessage="1" sqref="H21:Q21" xr:uid="{F181650D-CA40-4294-B713-01BA4F429CA6}">
      <formula1>$T$54:$T$56</formula1>
    </dataValidation>
    <dataValidation type="list" allowBlank="1" showInputMessage="1" showErrorMessage="1" sqref="H24:Q24" xr:uid="{7255FAD7-7A24-4042-B39B-E9E884F90F18}">
      <formula1>$X$54:$X$56</formula1>
    </dataValidation>
    <dataValidation type="list" allowBlank="1" showInputMessage="1" showErrorMessage="1" sqref="H15:Q15" xr:uid="{CB9C7AFA-AA39-46D4-956D-495BCF006EBB}">
      <formula1>$T$36:$T$44</formula1>
    </dataValidation>
    <dataValidation type="list" allowBlank="1" showInputMessage="1" showErrorMessage="1" sqref="H18:Q18" xr:uid="{3E620BB9-D01B-4313-BB55-42966B162331}">
      <formula1>$AF$36:$AF$41</formula1>
    </dataValidation>
    <dataValidation type="whole" operator="lessThan" showErrorMessage="1" sqref="AR14:AR18" xr:uid="{52B90945-3255-4717-9D8E-101BB8091823}">
      <formula1>IF(AI30&lt;AI43+1,AJ43+1,AI43+1)</formula1>
    </dataValidation>
    <dataValidation type="list" allowBlank="1" showInputMessage="1" showErrorMessage="1" sqref="F16:I16" xr:uid="{B9725D4F-FFE0-4AA4-82E5-C08F718AA054}">
      <formula1>$O$65:$O$84</formula1>
    </dataValidation>
    <dataValidation type="whole" operator="lessThan" showInputMessage="1" showErrorMessage="1" sqref="AI30:AK30" xr:uid="{C5E0A6B9-BC51-411A-98D2-FD1331EBFBFD}">
      <formula1>IF(AR14&lt;AI43+1,AJ43+1,AI43+1)</formula1>
    </dataValidation>
    <dataValidation type="list" allowBlank="1" showInputMessage="1" showErrorMessage="1" sqref="H17:Q17" xr:uid="{F019DA1F-D9A5-4A33-94C8-C50A8770748C}">
      <formula1>$P$82:$P$90</formula1>
    </dataValidation>
    <dataValidation type="list" allowBlank="1" showInputMessage="1" showErrorMessage="1" sqref="H25:Q25" xr:uid="{5AC7296A-233F-40AD-BFAF-17AF8A9C5039}">
      <formula1>$AD$54:$AD$97</formula1>
    </dataValidation>
    <dataValidation type="list" allowBlank="1" showInputMessage="1" showErrorMessage="1" sqref="P29:Q29" xr:uid="{6FCF6086-1154-4606-BB93-60CC9B5316DC}">
      <formula1>$W$37:$W$38</formula1>
    </dataValidation>
  </dataValidations>
  <hyperlinks>
    <hyperlink ref="AP2:AS3" location="Hlavní!A1" display="Hlavní!A1" xr:uid="{AB85E58D-83A5-4B59-90B7-1069D7733737}"/>
    <hyperlink ref="F5:H5" location="Ram_2!A1" display="Ram_2!A1" xr:uid="{1BD65057-C224-483C-AADF-6DF24E3C1941}"/>
    <hyperlink ref="N5:P5" location="Ram_4!A1" display="Ram_4!A1" xr:uid="{EEF40F1E-EB3D-416B-B3F5-2AEAB314969A}"/>
    <hyperlink ref="R5:T5" location="Ram_5!A1" display="Ram_5!A1" xr:uid="{34046366-670D-46F4-8880-A0F24D582421}"/>
    <hyperlink ref="V5:X5" location="Ram_6!A1" display="Ram_6!A1" xr:uid="{434F5757-7FD7-4BA5-828A-1A1A0F540544}"/>
    <hyperlink ref="B5:D5" location="Ram_1!A1" display="Ram_1!A1" xr:uid="{4D9A6DF5-4398-424D-92D8-B23610F32EC4}"/>
    <hyperlink ref="AO31:AR32" location="_souhrn!A1" display="_souhrn!A1" xr:uid="{E8B648A1-396F-4746-99DB-BCCBF3AA5E8A}"/>
    <hyperlink ref="J5:L5" location="Ram_3!A1" display="Ram_3!A1" xr:uid="{837023F8-6386-4BE2-8386-03483C999C01}"/>
  </hyperlinks>
  <pageMargins left="0.7" right="0.7" top="0.78740157499999996" bottom="0.78740157499999996" header="0.3" footer="0.3"/>
  <pageSetup paperSize="9" scale="55" orientation="landscape" r:id="rId1"/>
  <ignoredErrors>
    <ignoredError sqref="J5 A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0614" r:id="rId4" name="Check Box 22">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760905" r:id="rId5" name="Check Box 1097">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7F54C11-ACA9-40C9-B778-3DAD6B3211DF}">
          <x14:formula1>
            <xm:f>'závěsy dle výklopu'!$BW$2:$BW$5</xm:f>
          </x14:formula1>
          <xm:sqref>H27:Q27</xm:sqref>
        </x14:dataValidation>
        <x14:dataValidation type="list" allowBlank="1" showInputMessage="1" showErrorMessage="1" xr:uid="{B4A5F04F-4483-41E5-BE57-A7A0BEB51952}">
          <x14:formula1>
            <xm:f>kombinace_1!$BY$13:$BY$15</xm:f>
          </x14:formula1>
          <xm:sqref>H9:Q9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C796-AB5B-4EDC-AC10-5EB11F2AACC8}">
  <sheetPr codeName="List14"/>
  <dimension ref="A1:FC758"/>
  <sheetViews>
    <sheetView topLeftCell="B1" workbookViewId="0">
      <selection activeCell="S1" sqref="S1"/>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41.5703125" customWidth="1"/>
    <col min="80" max="80" width="32.28515625" customWidth="1"/>
    <col min="81" max="81" width="37.140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8" max="158" width="8.570312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VLOOKUP(Ram_1!H8,kombinace_1!$A$3:$C$75,3,0)</f>
        <v>#N/A</v>
      </c>
      <c r="S1" t="e">
        <f>CONCATENATE("_",R1,V1)</f>
        <v>#N/A</v>
      </c>
      <c r="U1" s="173" t="s">
        <v>996</v>
      </c>
      <c r="V1" s="2">
        <f>IFERROR(VLOOKUP(Ram_1!H21,$EN$3:$EO$5,2,0),1)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CONCATENATE("_",Ram_1!H12,"_",Ram_1!H13)</f>
        <v>__</v>
      </c>
      <c r="BV2" t="s">
        <v>1013</v>
      </c>
      <c r="BW2" t="s">
        <v>1009</v>
      </c>
      <c r="BY2" t="s">
        <v>110</v>
      </c>
      <c r="CA2" t="s">
        <v>1032</v>
      </c>
      <c r="CD2" t="s">
        <v>1106</v>
      </c>
      <c r="CF2" t="s">
        <v>1328</v>
      </c>
      <c r="DN2" t="str">
        <f>'Translate&amp;Prices&amp;Logo'!B555</f>
        <v>Nakładany</v>
      </c>
      <c r="DP2" t="str">
        <f>'Translate&amp;Prices&amp;Logo'!$B$553</f>
        <v>Zawiasy</v>
      </c>
      <c r="DQ2">
        <v>2</v>
      </c>
      <c r="ED2" t="s">
        <v>1649</v>
      </c>
      <c r="EE2" t="s">
        <v>3183</v>
      </c>
      <c r="ER2" t="s">
        <v>2153</v>
      </c>
      <c r="ES2" t="s">
        <v>2158</v>
      </c>
      <c r="EV2">
        <v>2</v>
      </c>
      <c r="EW2" t="s">
        <v>2175</v>
      </c>
      <c r="EY2" s="206" t="str">
        <f>'Translate&amp;Prices&amp;Logo'!B166</f>
        <v>siatka alu złota - oko 10x6x1 mm</v>
      </c>
      <c r="FA2" s="34" t="str">
        <f>'Translate&amp;Prices&amp;Logo'!B646</f>
        <v>520405 SALICE AIR SOFT zawiasy niklowe o kącie otwarcia 92° kpl. 2 szt</v>
      </c>
      <c r="FC2" t="b">
        <v>0</v>
      </c>
    </row>
    <row r="3" spans="1:159">
      <c r="A3" t="str">
        <f>'Translate&amp;Prices&amp;Logo'!$B$6</f>
        <v>BRW (elox.) - maksymalna zalecana długość profilu 2500 mm</v>
      </c>
      <c r="B3">
        <v>1</v>
      </c>
      <c r="C3" t="s">
        <v>651</v>
      </c>
      <c r="D3">
        <v>1</v>
      </c>
      <c r="F3" t="s">
        <v>950</v>
      </c>
      <c r="G3" t="s">
        <v>382</v>
      </c>
      <c r="H3" t="s">
        <v>951</v>
      </c>
      <c r="I3">
        <v>1</v>
      </c>
      <c r="J3">
        <v>2</v>
      </c>
      <c r="K3" t="s">
        <v>651</v>
      </c>
      <c r="M3" t="s">
        <v>952</v>
      </c>
      <c r="N3" t="s">
        <v>554</v>
      </c>
      <c r="X3" t="str">
        <f>'Translate&amp;Prices&amp;Logo'!$B$565</f>
        <v>transparentna</v>
      </c>
      <c r="Y3">
        <v>1</v>
      </c>
      <c r="AA3" t="s">
        <v>2079</v>
      </c>
      <c r="AB3" t="s">
        <v>1009</v>
      </c>
      <c r="AF3" t="s">
        <v>105</v>
      </c>
      <c r="AG3" t="s">
        <v>2373</v>
      </c>
      <c r="AY3" t="s">
        <v>984</v>
      </c>
      <c r="BK3" t="s">
        <v>105</v>
      </c>
      <c r="BU3" t="e">
        <f>VLOOKUP(BU2,BV2:BW9,2,0)</f>
        <v>#N/A</v>
      </c>
      <c r="BV3" t="s">
        <v>1015</v>
      </c>
      <c r="BW3" t="s">
        <v>1012</v>
      </c>
      <c r="BY3" t="str">
        <f>'Translate&amp;Prices&amp;Logo'!$B$232</f>
        <v>W lewo</v>
      </c>
      <c r="BZ3">
        <v>1</v>
      </c>
      <c r="CA3">
        <v>32</v>
      </c>
      <c r="CD3" t="s">
        <v>2370</v>
      </c>
      <c r="CE3">
        <v>1</v>
      </c>
      <c r="CF3">
        <v>1</v>
      </c>
      <c r="DN3" t="e">
        <f>IF(OR(Ram_1!$H$13&amp;Ram_1!$AU$7=Ram_1!$M$44,
Ram_1!$H$13&amp;Ram_1!$AU$7=Ram_1!$M$45,
Ram_1!$H$13&amp;Ram_1!$AU$7=Ram_1!$M$46,
Ram_1!$H$13&amp;Ram_1!$AU$7=Ram_1!$M$47),
'Translate&amp;Prices&amp;Logo'!B659,'Translate&amp;Prices&amp;Logo'!B556)</f>
        <v>#N/A</v>
      </c>
      <c r="DP3" t="str">
        <f>'Translate&amp;Prices&amp;Logo'!$B$554</f>
        <v>Podnośniki</v>
      </c>
      <c r="DQ3">
        <v>3</v>
      </c>
      <c r="ED3" t="s">
        <v>1650</v>
      </c>
      <c r="EE3" t="s">
        <v>3186</v>
      </c>
      <c r="EJ3">
        <v>1</v>
      </c>
      <c r="EK3" t="s">
        <v>113</v>
      </c>
      <c r="EN3" t="str">
        <f>'Translate&amp;Prices&amp;Logo'!B640</f>
        <v>Bez modyfikacji</v>
      </c>
      <c r="EO3">
        <v>1</v>
      </c>
      <c r="ER3" t="s">
        <v>2151</v>
      </c>
      <c r="ES3" t="s">
        <v>2159</v>
      </c>
      <c r="EV3">
        <v>3</v>
      </c>
      <c r="EW3" t="s">
        <v>2176</v>
      </c>
      <c r="EY3" s="206" t="str">
        <f>'Translate&amp;Prices&amp;Logo'!B167</f>
        <v>siatka stal czarny mat RAL 9005– oko 8x4x1 mm</v>
      </c>
      <c r="FA3" s="34" t="str">
        <f>'Translate&amp;Prices&amp;Logo'!B647</f>
        <v>520406 SALICE AIR PUSH TO OPEN zawiasy niklowe z zestawem adapterów 2 szt</v>
      </c>
    </row>
    <row r="4" spans="1:159">
      <c r="A4" t="str">
        <f>'Translate&amp;Prices&amp;Logo'!$B$8</f>
        <v>BRW bialy matowy RAL 9003 - maksymalna zalecana długość profilu 2500 mm</v>
      </c>
      <c r="B4">
        <v>1</v>
      </c>
      <c r="C4" t="s">
        <v>651</v>
      </c>
      <c r="D4">
        <v>0</v>
      </c>
      <c r="G4" t="s">
        <v>951</v>
      </c>
      <c r="H4" t="s">
        <v>382</v>
      </c>
      <c r="I4">
        <v>0</v>
      </c>
      <c r="J4">
        <v>2</v>
      </c>
      <c r="K4" t="s">
        <v>651</v>
      </c>
      <c r="M4" t="s">
        <v>955</v>
      </c>
      <c r="N4" t="s">
        <v>856</v>
      </c>
      <c r="X4" t="str">
        <f>'Translate&amp;Prices&amp;Logo'!$B$566</f>
        <v>Biała</v>
      </c>
      <c r="Y4">
        <v>2</v>
      </c>
      <c r="AA4" t="s">
        <v>954</v>
      </c>
      <c r="AB4" t="s">
        <v>2370</v>
      </c>
      <c r="AC4">
        <v>1</v>
      </c>
      <c r="AD4">
        <v>1</v>
      </c>
      <c r="AF4" t="s">
        <v>106</v>
      </c>
      <c r="AG4" t="s">
        <v>2373</v>
      </c>
      <c r="AY4" t="s">
        <v>984</v>
      </c>
      <c r="AZ4" t="s">
        <v>1017</v>
      </c>
      <c r="BK4" t="s">
        <v>106</v>
      </c>
      <c r="BV4" t="s">
        <v>1016</v>
      </c>
      <c r="BW4" t="s">
        <v>1011</v>
      </c>
      <c r="BY4" t="str">
        <f>'Translate&amp;Prices&amp;Logo'!$B$231</f>
        <v>W prawo</v>
      </c>
      <c r="BZ4">
        <v>2</v>
      </c>
      <c r="CA4">
        <v>64</v>
      </c>
      <c r="CD4" t="s">
        <v>2150</v>
      </c>
      <c r="CE4">
        <v>1</v>
      </c>
      <c r="CF4">
        <v>0</v>
      </c>
      <c r="DN4" t="e">
        <f>IF(OR(Ram_1!$H$13&amp;Ram_1!$AU$7=Ram_1!$M$44,
Ram_1!$H$13&amp;Ram_1!$AU$7=Ram_1!$M$45,
Ram_1!$H$13&amp;Ram_1!$AU$7=Ram_1!$M$46,
Ram_1!$H$13&amp;Ram_1!$AU$7=Ram_1!$M$47),
'Translate&amp;Prices&amp;Logo'!B659,'Translate&amp;Prices&amp;Logo'!B557)</f>
        <v>#N/A</v>
      </c>
      <c r="ED4" t="s">
        <v>1651</v>
      </c>
      <c r="EE4" t="s">
        <v>3188</v>
      </c>
      <c r="EJ4">
        <v>2</v>
      </c>
      <c r="EK4" t="s">
        <v>114</v>
      </c>
      <c r="EN4" t="str">
        <f>'Translate&amp;Prices&amp;Logo'!B641</f>
        <v>Hartowane (termin dostawy 4 tygodnie)</v>
      </c>
      <c r="EO4">
        <v>2</v>
      </c>
      <c r="ER4" t="s">
        <v>2445</v>
      </c>
      <c r="ES4" t="s">
        <v>2446</v>
      </c>
      <c r="EV4">
        <v>4</v>
      </c>
      <c r="EW4" t="s">
        <v>2177</v>
      </c>
      <c r="EY4" s="206" t="str">
        <f>'Translate&amp;Prices&amp;Logo'!B168</f>
        <v>siatka stalowa biała - oko 8x4x1 mm</v>
      </c>
      <c r="FA4" s="34" t="str">
        <f>'Translate&amp;Prices&amp;Logo'!B648</f>
        <v>520407 SALICE AIR PUSH TO OPEN zawiasy niklowe z zestawem adapterów 2 szt</v>
      </c>
    </row>
    <row r="5" spans="1:159">
      <c r="A5" t="str">
        <f>'Translate&amp;Prices&amp;Logo'!$B$9</f>
        <v>BRW bialy połysk RAL 9003 - maksymalna zalecana długość profilu 2500 mm</v>
      </c>
      <c r="B5">
        <v>1</v>
      </c>
      <c r="C5" t="s">
        <v>651</v>
      </c>
      <c r="D5">
        <v>0</v>
      </c>
      <c r="F5" t="s">
        <v>957</v>
      </c>
      <c r="G5" t="s">
        <v>381</v>
      </c>
      <c r="H5" t="s">
        <v>951</v>
      </c>
      <c r="I5">
        <v>1</v>
      </c>
      <c r="J5">
        <v>2</v>
      </c>
      <c r="K5" t="s">
        <v>651</v>
      </c>
      <c r="M5" t="s">
        <v>958</v>
      </c>
      <c r="N5" t="s">
        <v>556</v>
      </c>
      <c r="X5" t="str">
        <f>'Translate&amp;Prices&amp;Logo'!$B$567</f>
        <v>czarna</v>
      </c>
      <c r="Y5">
        <v>3</v>
      </c>
      <c r="AA5" t="s">
        <v>954</v>
      </c>
      <c r="AB5" t="s">
        <v>2374</v>
      </c>
      <c r="AC5">
        <v>0</v>
      </c>
      <c r="AD5">
        <v>0</v>
      </c>
      <c r="AF5" t="s">
        <v>105</v>
      </c>
      <c r="AG5" t="s">
        <v>2375</v>
      </c>
      <c r="AY5" t="s">
        <v>984</v>
      </c>
      <c r="AZ5" t="s">
        <v>1018</v>
      </c>
      <c r="BK5" t="s">
        <v>961</v>
      </c>
      <c r="BV5" t="s">
        <v>2497</v>
      </c>
      <c r="BW5" t="s">
        <v>2498</v>
      </c>
      <c r="BY5" t="str">
        <f>'Translate&amp;Prices&amp;Logo'!$B$229</f>
        <v>W górę</v>
      </c>
      <c r="BZ5">
        <v>3</v>
      </c>
      <c r="CA5">
        <v>76</v>
      </c>
      <c r="CD5" t="s">
        <v>964</v>
      </c>
      <c r="CE5">
        <v>1</v>
      </c>
      <c r="CF5">
        <v>0</v>
      </c>
      <c r="ED5" t="s">
        <v>1652</v>
      </c>
      <c r="EE5" t="s">
        <v>3189</v>
      </c>
      <c r="EJ5">
        <v>3</v>
      </c>
      <c r="EK5" t="s">
        <v>74</v>
      </c>
      <c r="EN5" t="str">
        <f>IF(Ram_1!H25="",'Translate&amp;Prices&amp;Logo'!B642,"")</f>
        <v>Folia</v>
      </c>
      <c r="EO5">
        <v>3</v>
      </c>
      <c r="ER5" t="s">
        <v>2447</v>
      </c>
      <c r="ES5" t="s">
        <v>2448</v>
      </c>
      <c r="EV5">
        <v>5</v>
      </c>
      <c r="EW5" t="s">
        <v>2175</v>
      </c>
      <c r="EY5" s="206" t="str">
        <f>'Translate&amp;Prices&amp;Logo'!B169</f>
        <v>siatka elox - oko 10x6x1 mm</v>
      </c>
      <c r="FA5" s="34" t="str">
        <f>'Translate&amp;Prices&amp;Logo'!B649</f>
        <v>520408 SALICE AIR SOFT zawiasy niklowe z zestawem adapterów 2 szt</v>
      </c>
    </row>
    <row r="6" spans="1:159">
      <c r="A6" t="str">
        <f>'Translate&amp;Prices&amp;Logo'!$B$11</f>
        <v>BRW szczotkowany - maksymalna zalecana długość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W dół</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zawiasy o kącie otwarcia 92° kpl. 2 szt</v>
      </c>
    </row>
    <row r="7" spans="1:159">
      <c r="A7" t="str">
        <f>'Translate&amp;Prices&amp;Logo'!$B$12</f>
        <v>BRW Czarny matowy - maksymalna zalecana długość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zawiasy komplet 2 szt</v>
      </c>
    </row>
    <row r="8" spans="1:159">
      <c r="A8" t="str">
        <f>'Translate&amp;Prices&amp;Logo'!$B$14</f>
        <v>BRW czarna szczotka - maksymalna zalecana długość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zawiasy z zestawem adapterów 2 szt</v>
      </c>
    </row>
    <row r="9" spans="1:159">
      <c r="A9" t="str">
        <f>'Translate&amp;Prices&amp;Logo'!$B$15</f>
        <v>BRW INOX ACIER gratta - maksymalna zalecana długość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zawiasy z zestawem adapterów 2 szt</v>
      </c>
    </row>
    <row r="10" spans="1:159">
      <c r="A10" t="str">
        <f>'Translate&amp;Prices&amp;Logo'!$B$7</f>
        <v>BRW antracyt RAL 7021 - maksymalna zalecana długość profilu 2500 mm</v>
      </c>
      <c r="B10">
        <v>1</v>
      </c>
      <c r="C10" t="s">
        <v>651</v>
      </c>
      <c r="D10">
        <v>0</v>
      </c>
      <c r="M10" t="str">
        <f>'Translate&amp;Prices&amp;Logo'!B560</f>
        <v>Poziomo (termin dostawy 4 tygodnie)</v>
      </c>
      <c r="N10">
        <f>IF(Ram_1!$H$9=kombinace_1!M10,1,0)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maksymalna zalecana długość profilu 2500 mm</v>
      </c>
      <c r="B11">
        <v>1</v>
      </c>
      <c r="C11" t="s">
        <v>651</v>
      </c>
      <c r="D11">
        <v>0</v>
      </c>
      <c r="M11" t="str">
        <f>'Translate&amp;Prices&amp;Logo'!B561</f>
        <v>Pionowo (termin dostawy 4 tygodnie)</v>
      </c>
      <c r="N11">
        <f>IF(Ram_1!$H$9=kombinace_1!M11,2,0)</f>
        <v>0</v>
      </c>
      <c r="AC11">
        <v>0</v>
      </c>
      <c r="AD11">
        <v>0</v>
      </c>
      <c r="AF11" t="s">
        <v>105</v>
      </c>
      <c r="AG11" t="s">
        <v>969</v>
      </c>
      <c r="AY11" t="s">
        <v>954</v>
      </c>
      <c r="AZ11" t="s">
        <v>1023</v>
      </c>
      <c r="BQ11" s="208" t="s">
        <v>2263</v>
      </c>
      <c r="BY11">
        <v>5</v>
      </c>
      <c r="CA11">
        <v>240</v>
      </c>
      <c r="CD11" t="str">
        <f>CONCATENATE('Translate&amp;Prices&amp;Logo'!B666,"_K12")</f>
        <v>dolny_K12</v>
      </c>
      <c r="CE11">
        <v>1</v>
      </c>
      <c r="CF11">
        <v>0</v>
      </c>
      <c r="DN11" t="s">
        <v>69</v>
      </c>
      <c r="DO11" s="2" t="s">
        <v>69</v>
      </c>
      <c r="ED11" t="s">
        <v>1658</v>
      </c>
      <c r="EE11" t="s">
        <v>1752</v>
      </c>
      <c r="ER11" t="s">
        <v>2155</v>
      </c>
      <c r="ES11" t="s">
        <v>2161</v>
      </c>
    </row>
    <row r="12" spans="1:159">
      <c r="A12" t="str">
        <f>'Translate&amp;Prices&amp;Logo'!$B$72</f>
        <v>BRW champagne light - maksymalna zalecana długość profilu 2500 mm</v>
      </c>
      <c r="B12">
        <v>1</v>
      </c>
      <c r="C12" t="s">
        <v>651</v>
      </c>
      <c r="D12">
        <v>0</v>
      </c>
      <c r="M12" t="str">
        <f>'Translate&amp;Prices&amp;Logo'!B562</f>
        <v>Poziomo i pionowo (termin dostawy 4 tygodnie)</v>
      </c>
      <c r="N12">
        <f>IF(Ram_1!$H$9=kombinace_1!M12,3,0)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brąz - maksymalna zalecana długość profilu 2500 mm</v>
      </c>
      <c r="B13">
        <v>1</v>
      </c>
      <c r="C13" t="s">
        <v>651</v>
      </c>
      <c r="D13">
        <v>0</v>
      </c>
      <c r="AC13">
        <v>0</v>
      </c>
      <c r="AD13">
        <v>0</v>
      </c>
      <c r="AF13" t="s">
        <v>105</v>
      </c>
      <c r="AG13" t="s">
        <v>972</v>
      </c>
      <c r="AY13" t="s">
        <v>954</v>
      </c>
      <c r="AZ13" t="s">
        <v>1025</v>
      </c>
      <c r="BQ13" s="209"/>
      <c r="BR13" t="s">
        <v>966</v>
      </c>
      <c r="BY13" t="str">
        <f>'Translate&amp;Prices&amp;Logo'!$B$560</f>
        <v>Poziomo (termin dostawy 4 tygodnie)</v>
      </c>
      <c r="BZ13">
        <v>1</v>
      </c>
      <c r="CA13">
        <v>288</v>
      </c>
      <c r="CD13" t="str">
        <f>CONCATENATE('Translate&amp;Prices&amp;Logo'!B666,"_kraby")</f>
        <v>dolny_kraby</v>
      </c>
      <c r="CE13">
        <v>1</v>
      </c>
      <c r="CF13">
        <v>0</v>
      </c>
      <c r="DN13" t="s">
        <v>220</v>
      </c>
      <c r="DO13" s="2" t="s">
        <v>68</v>
      </c>
      <c r="ED13" t="s">
        <v>2507</v>
      </c>
      <c r="EE13" t="s">
        <v>2506</v>
      </c>
      <c r="ER13" t="s">
        <v>2157</v>
      </c>
      <c r="ES13" t="s">
        <v>2157</v>
      </c>
    </row>
    <row r="14" spans="1:159">
      <c r="A14" t="str">
        <f>'Translate&amp;Prices&amp;Logo'!$B$16</f>
        <v>BRW INOX LIJA - maksymalna zalecana długość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Pionowo (termin dostawy 4 tygodnie)</v>
      </c>
      <c r="BZ14">
        <v>2</v>
      </c>
      <c r="CA14">
        <v>320</v>
      </c>
      <c r="CD14" t="s">
        <v>980</v>
      </c>
      <c r="CE14">
        <v>1</v>
      </c>
      <c r="CF14">
        <v>0</v>
      </c>
      <c r="DN14" t="s">
        <v>221</v>
      </c>
      <c r="DO14" s="2" t="s">
        <v>69</v>
      </c>
      <c r="ED14" t="s">
        <v>1660</v>
      </c>
      <c r="EE14" t="s">
        <v>1754</v>
      </c>
      <c r="ER14" t="s">
        <v>2158</v>
      </c>
      <c r="ES14" t="s">
        <v>2158</v>
      </c>
    </row>
    <row r="15" spans="1:159">
      <c r="A15" t="str">
        <f>'Translate&amp;Prices&amp;Logo'!$B$64</f>
        <v>BRW kaszmirowy - maksymalna zalecana długość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Poziomo i pionowo (termin dostawy 4 tygodnie)</v>
      </c>
      <c r="BZ15">
        <v>3</v>
      </c>
      <c r="CA15">
        <v>384</v>
      </c>
      <c r="CD15" t="s">
        <v>981</v>
      </c>
      <c r="CE15">
        <v>1</v>
      </c>
      <c r="CF15">
        <v>0</v>
      </c>
      <c r="DN15" t="s">
        <v>1145</v>
      </c>
      <c r="DO15" s="2" t="s">
        <v>70</v>
      </c>
      <c r="ED15" t="s">
        <v>1661</v>
      </c>
      <c r="EE15" t="s">
        <v>1755</v>
      </c>
      <c r="ER15" t="s">
        <v>2159</v>
      </c>
      <c r="ES15" t="s">
        <v>2159</v>
      </c>
    </row>
    <row r="16" spans="1:159">
      <c r="A16" t="str">
        <f>'Translate&amp;Prices&amp;Logo'!$B$13</f>
        <v>BRW złota- maksymalna zalecana długość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StrongLift_gorny</v>
      </c>
      <c r="CE16">
        <v>1</v>
      </c>
      <c r="CF16">
        <v>1</v>
      </c>
      <c r="DN16" t="s">
        <v>284</v>
      </c>
      <c r="DO16" s="2" t="s">
        <v>68</v>
      </c>
      <c r="ED16" t="s">
        <v>1662</v>
      </c>
      <c r="EE16" t="s">
        <v>1756</v>
      </c>
      <c r="ER16" t="s">
        <v>2446</v>
      </c>
      <c r="ES16" t="s">
        <v>2446</v>
      </c>
      <c r="FC16" s="244"/>
    </row>
    <row r="17" spans="1:159">
      <c r="A17" t="str">
        <f>'Translate&amp;Prices&amp;Logo'!$B$55</f>
        <v>BRW złota szczotkowany - maksymalna zalecana zalecana długość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StrongLift_dolny</v>
      </c>
      <c r="CE17">
        <v>1</v>
      </c>
      <c r="CF17">
        <v>1</v>
      </c>
      <c r="DN17" t="s">
        <v>1244</v>
      </c>
      <c r="DO17" s="2" t="s">
        <v>69</v>
      </c>
      <c r="ED17" t="s">
        <v>1663</v>
      </c>
      <c r="EE17" t="s">
        <v>1757</v>
      </c>
      <c r="ER17" t="s">
        <v>2448</v>
      </c>
      <c r="ES17" t="s">
        <v>2448</v>
      </c>
      <c r="FC17" s="244"/>
    </row>
    <row r="18" spans="1:159">
      <c r="A18" t="str">
        <f>'Translate&amp;Prices&amp;Logo'!$B$17</f>
        <v>Corleone (elox.)- maksymalna zalecana długość profilu 1500 mm</v>
      </c>
      <c r="B18">
        <v>2</v>
      </c>
      <c r="C18" t="s">
        <v>651</v>
      </c>
      <c r="D18">
        <v>0</v>
      </c>
      <c r="E18">
        <v>3</v>
      </c>
      <c r="F18" t="str">
        <f>'Translate&amp;Prices&amp;Logo'!$B$82</f>
        <v>Rocca elox (lewa i prawa) + Varna elox (góra i dół)</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czarny matowy - maksymalna zalecana długość profilu 1500 mm</v>
      </c>
      <c r="B19">
        <v>2</v>
      </c>
      <c r="C19" t="s">
        <v>651</v>
      </c>
      <c r="D19">
        <v>0</v>
      </c>
      <c r="F19" t="str">
        <f>'Translate&amp;Prices&amp;Logo'!$B$83</f>
        <v>Rocca czarny (lewa i prawa) + Varna czarny (góra i dół)</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czarne  - maksymalna zalecana długość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antracyt mat RAL 7021 mat lakier - maksymalna zalecana długość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maksymalna zalecana długość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Czarny matowy - maksymalna zalecana długość profilu 2500 mm</v>
      </c>
      <c r="B23">
        <v>2</v>
      </c>
      <c r="C23" t="s">
        <v>998</v>
      </c>
      <c r="D23">
        <v>0</v>
      </c>
      <c r="AA23" t="s">
        <v>966</v>
      </c>
      <c r="AB23" t="e">
        <f>IF(Ram_1!AU7=2,"FREEspace","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bialy matowy RAL 9003 - maksymalna zalecana długość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złota - maksymalna zalecana zalecana długość profilu 2150 mm</v>
      </c>
      <c r="B25">
        <v>2</v>
      </c>
      <c r="C25" t="s">
        <v>998</v>
      </c>
      <c r="D25">
        <v>0</v>
      </c>
      <c r="AF25" t="s">
        <v>105</v>
      </c>
      <c r="AG25" t="s">
        <v>980</v>
      </c>
      <c r="ED25" t="s">
        <v>1671</v>
      </c>
      <c r="EE25" t="s">
        <v>3200</v>
      </c>
      <c r="ER25" t="s">
        <v>2167</v>
      </c>
      <c r="ES25" t="s">
        <v>2167</v>
      </c>
    </row>
    <row r="26" spans="1:159">
      <c r="A26" t="str">
        <f>'Translate&amp;Prices&amp;Logo'!$B$22</f>
        <v>Modena (elox.) - maksymalna zalecana długość profilu 2500 mm</v>
      </c>
      <c r="B26">
        <v>2</v>
      </c>
      <c r="C26" t="s">
        <v>651</v>
      </c>
      <c r="D26">
        <v>0</v>
      </c>
      <c r="AF26" t="s">
        <v>106</v>
      </c>
      <c r="AG26" t="s">
        <v>980</v>
      </c>
      <c r="ED26" t="s">
        <v>1672</v>
      </c>
      <c r="EE26" t="s">
        <v>3201</v>
      </c>
      <c r="ER26" t="s">
        <v>2168</v>
      </c>
      <c r="ES26" t="s">
        <v>2168</v>
      </c>
    </row>
    <row r="27" spans="1:159">
      <c r="A27" t="str">
        <f>'Translate&amp;Prices&amp;Logo'!$B$23</f>
        <v>Modena Czarny matowy - maksymalna zalecana długość profilu 2500 mm</v>
      </c>
      <c r="B27">
        <v>2</v>
      </c>
      <c r="C27" t="s">
        <v>651</v>
      </c>
      <c r="D27">
        <v>0</v>
      </c>
      <c r="AF27" t="s">
        <v>105</v>
      </c>
      <c r="AG27" t="s">
        <v>981</v>
      </c>
      <c r="ED27" t="s">
        <v>1673</v>
      </c>
      <c r="EE27" t="s">
        <v>3203</v>
      </c>
      <c r="ER27" t="s">
        <v>2169</v>
      </c>
      <c r="ES27" t="s">
        <v>2169</v>
      </c>
    </row>
    <row r="28" spans="1:159">
      <c r="A28" t="str">
        <f>'Translate&amp;Prices&amp;Logo'!$B$25</f>
        <v>Modena czarna szczotka - maksymalna zalecana długość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LIJA - maksymalna zalecana długość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brąz - maksymalna zalecana długość profilu 2500 mm</v>
      </c>
      <c r="B30">
        <v>2</v>
      </c>
      <c r="C30" t="s">
        <v>651</v>
      </c>
      <c r="D30">
        <v>0</v>
      </c>
      <c r="AA30" t="s">
        <v>976</v>
      </c>
      <c r="AB30" t="str">
        <f>CONCATENATE('Translate&amp;Prices&amp;Logo'!B666,"_K12")</f>
        <v>dolny_K12</v>
      </c>
      <c r="AC30">
        <v>1</v>
      </c>
      <c r="AD30">
        <v>0</v>
      </c>
      <c r="AF30" t="s">
        <v>106</v>
      </c>
      <c r="AG30" t="s">
        <v>982</v>
      </c>
      <c r="CA30" t="s">
        <v>4539</v>
      </c>
      <c r="ED30" t="s">
        <v>1676</v>
      </c>
      <c r="EE30" t="s">
        <v>3206</v>
      </c>
      <c r="ER30" t="s">
        <v>2459</v>
      </c>
      <c r="ES30" t="s">
        <v>2459</v>
      </c>
    </row>
    <row r="31" spans="1:159">
      <c r="A31" t="str">
        <f>'Translate&amp;Prices&amp;Logo'!$B$29</f>
        <v>Pisa (elox.) - maksymalna zalecana długość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biały matowy RAL 9003 - maksymalna zalecana zalecana długość profilu 2500 mm</v>
      </c>
      <c r="B32">
        <v>2</v>
      </c>
      <c r="C32" t="s">
        <v>998</v>
      </c>
      <c r="D32">
        <v>0</v>
      </c>
      <c r="AA32" t="s">
        <v>976</v>
      </c>
      <c r="AB32" t="str">
        <f>CONCATENATE('Translate&amp;Prices&amp;Logo'!B666,"_kraby")</f>
        <v>dolny_kraby</v>
      </c>
      <c r="AC32">
        <v>1</v>
      </c>
      <c r="AD32">
        <v>0</v>
      </c>
      <c r="AF32" t="s">
        <v>106</v>
      </c>
      <c r="AG32" t="s">
        <v>983</v>
      </c>
      <c r="BY32" t="str">
        <f>'Translate&amp;Prices&amp;Logo'!$B$232</f>
        <v>W lewo</v>
      </c>
      <c r="BZ32" t="str">
        <f>'Translate&amp;Prices&amp;Logo'!$B$244&amp;" "&amp;'Translate&amp;Prices&amp;Logo'!$B$593</f>
        <v>Odległość od lewej krawędzi (górnej)</v>
      </c>
      <c r="CA32" t="str">
        <f>'Translate&amp;Prices&amp;Logo'!$B$244&amp;" "&amp;'Translate&amp;Prices&amp;Logo'!$B$591</f>
        <v>Odległość od lewej krawędzi (dolnej)</v>
      </c>
      <c r="CC32" t="s">
        <v>4537</v>
      </c>
      <c r="CD32" t="s">
        <v>4532</v>
      </c>
      <c r="ED32" t="s">
        <v>1678</v>
      </c>
      <c r="EE32" t="s">
        <v>3208</v>
      </c>
      <c r="ER32" t="s">
        <v>2461</v>
      </c>
      <c r="ES32" t="s">
        <v>2461</v>
      </c>
    </row>
    <row r="33" spans="1:149">
      <c r="A33" t="str">
        <f>'Translate&amp;Prices&amp;Logo'!$B$53</f>
        <v>Pisa biały połysk RAL 9003 - maksymalna zalecana zalecana długość profilu 2500 mm</v>
      </c>
      <c r="B33">
        <v>2</v>
      </c>
      <c r="C33" t="s">
        <v>998</v>
      </c>
      <c r="D33">
        <v>0</v>
      </c>
      <c r="AA33" t="s">
        <v>976</v>
      </c>
      <c r="AB33" t="s">
        <v>980</v>
      </c>
      <c r="AC33">
        <v>1</v>
      </c>
      <c r="AD33">
        <v>0</v>
      </c>
      <c r="AF33" t="s">
        <v>105</v>
      </c>
      <c r="AG33" t="s">
        <v>985</v>
      </c>
      <c r="BY33" t="str">
        <f>'Translate&amp;Prices&amp;Logo'!$B$231</f>
        <v>W prawo</v>
      </c>
      <c r="BZ33" t="str">
        <f>'Translate&amp;Prices&amp;Logo'!$B$645&amp;" "&amp;'Translate&amp;Prices&amp;Logo'!$B$593</f>
        <v>Odległość od prawej krawędzi (górnej)</v>
      </c>
      <c r="CA33" t="str">
        <f>'Translate&amp;Prices&amp;Logo'!$B$645&amp;" "&amp;'Translate&amp;Prices&amp;Logo'!$B$591</f>
        <v>Odległość od prawej krawędzi (dolnej)</v>
      </c>
      <c r="CC33" t="s">
        <v>4540</v>
      </c>
      <c r="CD33" t="s">
        <v>4538</v>
      </c>
      <c r="ED33" t="s">
        <v>1679</v>
      </c>
      <c r="EE33" t="s">
        <v>3209</v>
      </c>
      <c r="ER33" t="s">
        <v>2462</v>
      </c>
      <c r="ES33" t="s">
        <v>2462</v>
      </c>
    </row>
    <row r="34" spans="1:149">
      <c r="A34" t="str">
        <f>'Translate&amp;Prices&amp;Logo'!$B$30</f>
        <v>Pisa Czarny matowy - maksymalna zalecana długość profilu 2500 mm</v>
      </c>
      <c r="B34">
        <v>2</v>
      </c>
      <c r="C34" t="s">
        <v>998</v>
      </c>
      <c r="D34">
        <v>0</v>
      </c>
      <c r="AA34" t="s">
        <v>976</v>
      </c>
      <c r="AB34" t="s">
        <v>981</v>
      </c>
      <c r="AC34">
        <v>1</v>
      </c>
      <c r="AD34">
        <v>0</v>
      </c>
      <c r="AF34" t="s">
        <v>106</v>
      </c>
      <c r="AG34" t="s">
        <v>985</v>
      </c>
      <c r="BY34" t="str">
        <f>'Translate&amp;Prices&amp;Logo'!$B$229</f>
        <v>W górę</v>
      </c>
      <c r="BZ34" t="str">
        <f>'Translate&amp;Prices&amp;Logo'!$B$674&amp;" "&amp;'Translate&amp;Prices&amp;Logo'!$B$592</f>
        <v>Odległość od górnej krawędzi (lewej)</v>
      </c>
      <c r="CA34" t="str">
        <f>'Translate&amp;Prices&amp;Logo'!$B$674&amp;" "&amp;'Translate&amp;Prices&amp;Logo'!$B$594</f>
        <v>Odległość od górnej krawędzi (prawej)</v>
      </c>
      <c r="CC34" t="s">
        <v>4534</v>
      </c>
      <c r="CD34" t="s">
        <v>4536</v>
      </c>
      <c r="ED34" t="s">
        <v>1680</v>
      </c>
      <c r="EE34" t="s">
        <v>3210</v>
      </c>
      <c r="ER34" t="s">
        <v>2170</v>
      </c>
      <c r="ES34" t="s">
        <v>2170</v>
      </c>
    </row>
    <row r="35" spans="1:149">
      <c r="A35" t="str">
        <f>'Translate&amp;Prices&amp;Logo'!$B$58</f>
        <v>Pisa złota - maksymalna zalecana długość profilu 2150 mm</v>
      </c>
      <c r="B35">
        <v>2</v>
      </c>
      <c r="C35" t="s">
        <v>998</v>
      </c>
      <c r="D35">
        <v>0</v>
      </c>
      <c r="BY35" t="str">
        <f>'Translate&amp;Prices&amp;Logo'!$B$230</f>
        <v>W dół</v>
      </c>
      <c r="BZ35" t="str">
        <f>'Translate&amp;Prices&amp;Logo'!$B$675&amp;" "&amp;'Translate&amp;Prices&amp;Logo'!$B$592</f>
        <v>Odległość od dolnej krawędzi (lewej)</v>
      </c>
      <c r="CA35" t="str">
        <f>'Translate&amp;Prices&amp;Logo'!$B$675&amp;" "&amp;'Translate&amp;Prices&amp;Logo'!$B$594</f>
        <v>Odległość od dolnej krawędzi (prawej)</v>
      </c>
      <c r="CC35" t="s">
        <v>4533</v>
      </c>
      <c r="CD35" t="s">
        <v>4535</v>
      </c>
      <c r="ED35" t="s">
        <v>1681</v>
      </c>
      <c r="EE35" t="s">
        <v>1775</v>
      </c>
      <c r="ER35" t="s">
        <v>2171</v>
      </c>
      <c r="ES35" t="s">
        <v>2171</v>
      </c>
    </row>
    <row r="36" spans="1:149">
      <c r="A36" t="str">
        <f>'Translate&amp;Prices&amp;Logo'!$B$66</f>
        <v>Rimini elox naturalna - maksymalna długość profilu 1100 mm</v>
      </c>
      <c r="B36">
        <v>1</v>
      </c>
      <c r="C36" t="s">
        <v>651</v>
      </c>
      <c r="D36">
        <v>0</v>
      </c>
      <c r="E36" s="478"/>
      <c r="ED36" t="s">
        <v>1620</v>
      </c>
      <c r="EE36" t="s">
        <v>1776</v>
      </c>
      <c r="ER36" t="s">
        <v>2172</v>
      </c>
      <c r="ES36" t="s">
        <v>2172</v>
      </c>
    </row>
    <row r="37" spans="1:149">
      <c r="A37" t="str">
        <f>'Translate&amp;Prices&amp;Logo'!$B$67</f>
        <v>Rimini czarny mat - maksymalna długość profilu 1100 mm</v>
      </c>
      <c r="B37">
        <v>1</v>
      </c>
      <c r="C37" t="s">
        <v>651</v>
      </c>
      <c r="D37">
        <v>0</v>
      </c>
      <c r="E37" s="478"/>
      <c r="BY37" t="s">
        <v>1332</v>
      </c>
      <c r="ED37" t="s">
        <v>1621</v>
      </c>
      <c r="EE37" t="s">
        <v>1777</v>
      </c>
      <c r="ER37" t="s">
        <v>2215</v>
      </c>
      <c r="ES37" t="s">
        <v>2209</v>
      </c>
    </row>
    <row r="38" spans="1:149">
      <c r="A38" t="str">
        <f>'Translate&amp;Prices&amp;Logo'!$B$68</f>
        <v>Rimini champagne - maksymalna długość profilu 1100 mm</v>
      </c>
      <c r="B38">
        <v>1</v>
      </c>
      <c r="C38" t="s">
        <v>651</v>
      </c>
      <c r="D38">
        <v>0</v>
      </c>
      <c r="E38" s="478"/>
      <c r="ED38" t="s">
        <v>1622</v>
      </c>
      <c r="EE38" t="s">
        <v>1778</v>
      </c>
      <c r="ER38" t="s">
        <v>2216</v>
      </c>
      <c r="ES38" t="s">
        <v>2210</v>
      </c>
    </row>
    <row r="39" spans="1:149">
      <c r="A39" t="str">
        <f>'Translate&amp;Prices&amp;Logo'!$B$69</f>
        <v>Rimini zlota - maksymalna długość profilu 1100 mm</v>
      </c>
      <c r="B39">
        <v>1</v>
      </c>
      <c r="C39" t="s">
        <v>651</v>
      </c>
      <c r="D39">
        <v>0</v>
      </c>
      <c r="E39" s="478"/>
      <c r="AA39" t="s">
        <v>2500</v>
      </c>
      <c r="AB39" t="s">
        <v>2498</v>
      </c>
      <c r="ED39" t="s">
        <v>1623</v>
      </c>
      <c r="EE39" t="s">
        <v>1779</v>
      </c>
      <c r="ER39" t="s">
        <v>2217</v>
      </c>
      <c r="ES39" t="s">
        <v>2211</v>
      </c>
    </row>
    <row r="40" spans="1:149">
      <c r="A40" t="str">
        <f>'Translate&amp;Prices&amp;Logo'!$B$70</f>
        <v>Rimini zlota szczotkowana - maksymalna długość profilu 1100 mm</v>
      </c>
      <c r="B40">
        <v>1</v>
      </c>
      <c r="C40" t="s">
        <v>651</v>
      </c>
      <c r="D40">
        <v>0</v>
      </c>
      <c r="E40" s="478"/>
      <c r="AA40" t="s">
        <v>2500</v>
      </c>
      <c r="AB40" t="str">
        <f>'Translate&amp;Prices&amp;Logo'!B661</f>
        <v>StrongLift_gorny</v>
      </c>
      <c r="AC40">
        <v>1</v>
      </c>
      <c r="AD40">
        <v>0</v>
      </c>
      <c r="ED40" t="s">
        <v>1624</v>
      </c>
      <c r="EE40" t="s">
        <v>1780</v>
      </c>
      <c r="ER40" t="s">
        <v>2218</v>
      </c>
      <c r="ES40" t="s">
        <v>2212</v>
      </c>
    </row>
    <row r="41" spans="1:149">
      <c r="A41" t="str">
        <f>'Translate&amp;Prices&amp;Logo'!$B$50</f>
        <v>Rocca (elox.) - maksymalna zalecana zalecana długość profilu 2150 mm</v>
      </c>
      <c r="B41">
        <v>1</v>
      </c>
      <c r="C41" t="s">
        <v>651</v>
      </c>
      <c r="D41">
        <v>0</v>
      </c>
      <c r="AB41" t="str">
        <f>'Translate&amp;Prices&amp;Logo'!B662</f>
        <v>StrongLift_dolny</v>
      </c>
      <c r="AC41">
        <v>1</v>
      </c>
      <c r="AD41">
        <v>0</v>
      </c>
      <c r="ED41" t="s">
        <v>1625</v>
      </c>
      <c r="EE41" t="s">
        <v>1781</v>
      </c>
      <c r="ER41" t="s">
        <v>2219</v>
      </c>
      <c r="ES41" t="s">
        <v>2213</v>
      </c>
    </row>
    <row r="42" spans="1:149">
      <c r="A42" t="str">
        <f>'Translate&amp;Prices&amp;Logo'!$B$42</f>
        <v>Rocca czarny matowy - maksymalna zalecana zalecana długość profilu 2150 mm</v>
      </c>
      <c r="B42">
        <v>1</v>
      </c>
      <c r="C42" t="s">
        <v>651</v>
      </c>
      <c r="D42">
        <v>0</v>
      </c>
      <c r="AA42" t="s">
        <v>2082</v>
      </c>
      <c r="AB42" t="s">
        <v>1010</v>
      </c>
      <c r="ED42" t="s">
        <v>1626</v>
      </c>
      <c r="EE42" t="s">
        <v>1782</v>
      </c>
      <c r="ER42" t="s">
        <v>2220</v>
      </c>
      <c r="ES42" t="s">
        <v>2214</v>
      </c>
    </row>
    <row r="43" spans="1:149">
      <c r="A43" t="str">
        <f>'Translate&amp;Prices&amp;Logo'!$B$63</f>
        <v>Treviso czarny matowy - maksymalna zalecana długość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maksymalna zalecana zalecana długość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szczotkowany - maksymalna zalecana zalecana długość profilu 2500 mm</v>
      </c>
      <c r="B45">
        <v>1</v>
      </c>
      <c r="C45" t="s">
        <v>651</v>
      </c>
      <c r="D45">
        <v>0</v>
      </c>
      <c r="AB45" t="s">
        <v>1111</v>
      </c>
      <c r="AC45">
        <v>0</v>
      </c>
      <c r="AD45">
        <v>0</v>
      </c>
      <c r="ED45" t="s">
        <v>1629</v>
      </c>
      <c r="EE45" t="s">
        <v>1785</v>
      </c>
      <c r="ER45" t="s">
        <v>2239</v>
      </c>
      <c r="ES45" t="s">
        <v>2233</v>
      </c>
    </row>
    <row r="46" spans="1:149">
      <c r="A46" t="str">
        <f>'Translate&amp;Prices&amp;Logo'!$B$37</f>
        <v>Verona czarny matowy - maksymalna zalecana zalecana długość profilu 2500 mm</v>
      </c>
      <c r="B46">
        <v>1</v>
      </c>
      <c r="C46" t="s">
        <v>651</v>
      </c>
      <c r="D46">
        <v>0</v>
      </c>
      <c r="ED46" t="s">
        <v>1630</v>
      </c>
      <c r="EE46" t="s">
        <v>1786</v>
      </c>
      <c r="ER46" t="s">
        <v>2240</v>
      </c>
      <c r="ES46" t="s">
        <v>2234</v>
      </c>
    </row>
    <row r="47" spans="1:149">
      <c r="A47" t="str">
        <f>'Translate&amp;Prices&amp;Logo'!$B$36</f>
        <v>Verona czarny połysk - maksymalna zalecana zalecana długość profilu 2500 mm</v>
      </c>
      <c r="B47">
        <v>1</v>
      </c>
      <c r="C47" t="s">
        <v>651</v>
      </c>
      <c r="D47">
        <v>0</v>
      </c>
      <c r="ED47" t="s">
        <v>1631</v>
      </c>
      <c r="EE47" t="s">
        <v>1787</v>
      </c>
      <c r="ER47" t="s">
        <v>2241</v>
      </c>
      <c r="ES47" t="s">
        <v>2235</v>
      </c>
    </row>
    <row r="48" spans="1:149">
      <c r="A48" t="str">
        <f>'Translate&amp;Prices&amp;Logo'!$B$38</f>
        <v>Verona braz - maksymalna zalecana zalecana długość profilu 2500 mm</v>
      </c>
      <c r="B48">
        <v>1</v>
      </c>
      <c r="C48" t="s">
        <v>651</v>
      </c>
      <c r="D48">
        <v>0</v>
      </c>
      <c r="ED48" t="s">
        <v>1632</v>
      </c>
      <c r="EE48" t="s">
        <v>1788</v>
      </c>
      <c r="ER48" t="s">
        <v>2242</v>
      </c>
      <c r="ES48" t="s">
        <v>2236</v>
      </c>
    </row>
    <row r="49" spans="1:149">
      <c r="A49" t="str">
        <f>'Translate&amp;Prices&amp;Logo'!$B$39</f>
        <v>Verona szampański - maksymalna zalecana zalecana długość profilu 2500 mm</v>
      </c>
      <c r="B49">
        <v>1</v>
      </c>
      <c r="C49" t="s">
        <v>651</v>
      </c>
      <c r="D49">
        <v>0</v>
      </c>
      <c r="AA49" t="s">
        <v>2083</v>
      </c>
      <c r="AB49" t="s">
        <v>2085</v>
      </c>
      <c r="ED49" t="s">
        <v>1633</v>
      </c>
      <c r="EE49" t="s">
        <v>1789</v>
      </c>
      <c r="ER49" t="s">
        <v>2243</v>
      </c>
      <c r="ES49" t="s">
        <v>2237</v>
      </c>
    </row>
    <row r="50" spans="1:149">
      <c r="A50" t="str">
        <f>'Translate&amp;Prices&amp;Logo'!$B$40</f>
        <v>Verona Inox szczotkowany (Inox Lija)- maksymalna zalecana zalecana długość profilu 2500 mm</v>
      </c>
      <c r="B50">
        <v>1</v>
      </c>
      <c r="C50" t="s">
        <v>651</v>
      </c>
      <c r="D50">
        <v>0</v>
      </c>
      <c r="AB50" t="s">
        <v>2374</v>
      </c>
      <c r="AC50">
        <v>0</v>
      </c>
      <c r="AD50">
        <v>0</v>
      </c>
      <c r="ED50" t="s">
        <v>1634</v>
      </c>
      <c r="EE50" t="s">
        <v>1790</v>
      </c>
      <c r="ER50" t="s">
        <v>2244</v>
      </c>
      <c r="ES50" t="s">
        <v>2238</v>
      </c>
    </row>
    <row r="51" spans="1:149">
      <c r="A51" t="str">
        <f>'Translate&amp;Prices&amp;Logo'!$B$41</f>
        <v>Verona Acier Gratta - maksymalna zalecana zalecana długość profilu 2500 mm</v>
      </c>
      <c r="B51">
        <v>1</v>
      </c>
      <c r="C51" t="s">
        <v>651</v>
      </c>
      <c r="D51">
        <v>0</v>
      </c>
      <c r="AB51" t="s">
        <v>2376</v>
      </c>
      <c r="AC51">
        <v>0</v>
      </c>
      <c r="AD51">
        <v>0</v>
      </c>
      <c r="ED51" t="s">
        <v>1635</v>
      </c>
      <c r="EE51" t="s">
        <v>1791</v>
      </c>
      <c r="ER51" t="s">
        <v>2473</v>
      </c>
      <c r="ES51" t="s">
        <v>2465</v>
      </c>
    </row>
    <row r="52" spans="1:149">
      <c r="A52" t="str">
        <f>'Translate&amp;Prices&amp;Logo'!$B$62</f>
        <v>Verona Ivory mat - maksymalna zalecana zalecana długość profilu 2150 mm</v>
      </c>
      <c r="B52">
        <v>1</v>
      </c>
      <c r="C52" t="s">
        <v>651</v>
      </c>
      <c r="D52">
        <v>0</v>
      </c>
      <c r="AB52" t="s">
        <v>2371</v>
      </c>
      <c r="AC52">
        <v>0</v>
      </c>
      <c r="AD52">
        <v>0</v>
      </c>
      <c r="ED52" t="s">
        <v>1636</v>
      </c>
      <c r="EE52" t="s">
        <v>1792</v>
      </c>
      <c r="ER52" t="s">
        <v>2474</v>
      </c>
      <c r="ES52" t="s">
        <v>2466</v>
      </c>
    </row>
    <row r="53" spans="1:149">
      <c r="A53" t="str">
        <f>'Translate&amp;Prices&amp;Logo'!$B$65</f>
        <v>Verona kaszmirowy - maksymalna zalecana długość profilu 2150 mm</v>
      </c>
      <c r="B53">
        <v>1</v>
      </c>
      <c r="C53" t="s">
        <v>651</v>
      </c>
      <c r="D53">
        <v>0</v>
      </c>
      <c r="AB53" t="s">
        <v>2372</v>
      </c>
      <c r="AC53">
        <v>0</v>
      </c>
      <c r="AD53">
        <v>0</v>
      </c>
      <c r="ED53" t="s">
        <v>1637</v>
      </c>
      <c r="EE53" t="s">
        <v>1793</v>
      </c>
      <c r="ER53" t="s">
        <v>2475</v>
      </c>
      <c r="ES53" t="s">
        <v>2467</v>
      </c>
    </row>
    <row r="54" spans="1:149">
      <c r="A54" t="str">
        <f>'Translate&amp;Prices&amp;Logo'!$B$24</f>
        <v>Verona złota - maksymalna zalecana długość profilu 2150 mm</v>
      </c>
      <c r="B54">
        <v>1</v>
      </c>
      <c r="C54" t="s">
        <v>651</v>
      </c>
      <c r="D54">
        <v>0</v>
      </c>
      <c r="ED54" t="s">
        <v>1638</v>
      </c>
      <c r="EE54" t="s">
        <v>1794</v>
      </c>
      <c r="ER54" t="s">
        <v>2476</v>
      </c>
      <c r="ES54" t="s">
        <v>2468</v>
      </c>
    </row>
    <row r="55" spans="1:149">
      <c r="A55" t="str">
        <f>'Translate&amp;Prices&amp;Logo'!$B$56</f>
        <v>Verona złota szczotkowany - maksymalna zalecana zalecana długość profilu 2150 mm</v>
      </c>
      <c r="B55">
        <v>1</v>
      </c>
      <c r="C55" t="s">
        <v>651</v>
      </c>
      <c r="D55">
        <v>0</v>
      </c>
      <c r="ED55" t="s">
        <v>1639</v>
      </c>
      <c r="EE55" t="s">
        <v>1795</v>
      </c>
      <c r="ER55" t="s">
        <v>2477</v>
      </c>
      <c r="ES55" t="s">
        <v>2469</v>
      </c>
    </row>
    <row r="56" spans="1:149">
      <c r="A56" t="str">
        <f>'Translate&amp;Prices&amp;Logo'!$B$43</f>
        <v>Vivaro (elox.) - maksymalna zalecana zalecana długość profilu 2500 mm</v>
      </c>
      <c r="B56">
        <v>2</v>
      </c>
      <c r="C56" t="s">
        <v>651</v>
      </c>
      <c r="D56">
        <v>1</v>
      </c>
      <c r="ED56" t="s">
        <v>1640</v>
      </c>
      <c r="EE56" t="s">
        <v>1796</v>
      </c>
      <c r="ER56" t="s">
        <v>2478</v>
      </c>
      <c r="ES56" t="s">
        <v>2470</v>
      </c>
    </row>
    <row r="57" spans="1:149">
      <c r="A57" t="str">
        <f>'Translate&amp;Prices&amp;Logo'!$B$44</f>
        <v>Vivaro czarny matowy - maksymalna zalecana zalecana długość profilu 2500 mm</v>
      </c>
      <c r="B57">
        <v>2</v>
      </c>
      <c r="C57" t="s">
        <v>651</v>
      </c>
      <c r="D57">
        <v>1</v>
      </c>
      <c r="ED57" t="s">
        <v>1641</v>
      </c>
      <c r="EE57" t="s">
        <v>1797</v>
      </c>
      <c r="ER57" t="s">
        <v>2221</v>
      </c>
      <c r="ES57" t="s">
        <v>2209</v>
      </c>
    </row>
    <row r="58" spans="1:149">
      <c r="A58" t="str">
        <f>'Translate&amp;Prices&amp;Logo'!$B$46</f>
        <v>Vivaro INOX LIJA - maksymalna zalecana zalecana długość profilu 2500 mm</v>
      </c>
      <c r="B58">
        <v>2</v>
      </c>
      <c r="C58" t="s">
        <v>651</v>
      </c>
      <c r="D58">
        <v>0</v>
      </c>
      <c r="ED58" t="s">
        <v>1642</v>
      </c>
      <c r="EE58" t="s">
        <v>1798</v>
      </c>
      <c r="ER58" t="s">
        <v>2222</v>
      </c>
      <c r="ES58" t="s">
        <v>2210</v>
      </c>
    </row>
    <row r="59" spans="1:149">
      <c r="A59" t="str">
        <f>'Translate&amp;Prices&amp;Logo'!$B$47</f>
        <v>Vivaro biały matowy RAL 9003 - maksymalna zalecana zalecana długość profilu 2500 mm</v>
      </c>
      <c r="B59">
        <v>2</v>
      </c>
      <c r="C59" t="s">
        <v>651</v>
      </c>
      <c r="D59">
        <v>0</v>
      </c>
      <c r="AA59" t="s">
        <v>2084</v>
      </c>
      <c r="AB59" t="s">
        <v>2086</v>
      </c>
      <c r="ED59" t="s">
        <v>1643</v>
      </c>
      <c r="EE59" t="s">
        <v>1799</v>
      </c>
      <c r="ER59" t="s">
        <v>2223</v>
      </c>
      <c r="ES59" t="s">
        <v>2211</v>
      </c>
    </row>
    <row r="60" spans="1:149">
      <c r="A60" t="str">
        <f>'Translate&amp;Prices&amp;Logo'!$B$48</f>
        <v>Vivaro biały połysk RAL 9003 - maksymalna zalecana zalecana długość profilu 2500 mm</v>
      </c>
      <c r="B60">
        <v>2</v>
      </c>
      <c r="C60" t="s">
        <v>651</v>
      </c>
      <c r="D60">
        <v>0</v>
      </c>
      <c r="AB60" t="s">
        <v>968</v>
      </c>
      <c r="AC60">
        <v>0</v>
      </c>
      <c r="AD60">
        <v>0</v>
      </c>
      <c r="ED60" t="s">
        <v>1644</v>
      </c>
      <c r="EE60" t="s">
        <v>1800</v>
      </c>
      <c r="ER60" t="s">
        <v>2224</v>
      </c>
      <c r="ES60" t="s">
        <v>2212</v>
      </c>
    </row>
    <row r="61" spans="1:149">
      <c r="A61" t="str">
        <f>'Translate&amp;Prices&amp;Logo'!$B$31</f>
        <v>Vivaro złota - maksymalna zalecana zalecana długość profilu 2150 mm</v>
      </c>
      <c r="B61">
        <v>2</v>
      </c>
      <c r="C61" t="s">
        <v>651</v>
      </c>
      <c r="D61">
        <v>1</v>
      </c>
      <c r="AB61" t="s">
        <v>970</v>
      </c>
      <c r="AC61">
        <v>0</v>
      </c>
      <c r="AD61">
        <v>0</v>
      </c>
      <c r="ED61" t="s">
        <v>1645</v>
      </c>
      <c r="EE61" t="s">
        <v>1801</v>
      </c>
      <c r="ER61" t="s">
        <v>2225</v>
      </c>
      <c r="ES61" t="s">
        <v>2213</v>
      </c>
    </row>
    <row r="62" spans="1:149">
      <c r="A62" t="str">
        <f>'Translate&amp;Prices&amp;Logo'!$B$57</f>
        <v>Vivaro złota szczotkowany - maksymalna zalecana zalecana długość profilu 2150 mm</v>
      </c>
      <c r="B62">
        <v>2</v>
      </c>
      <c r="C62" t="s">
        <v>651</v>
      </c>
      <c r="D62">
        <v>0</v>
      </c>
      <c r="AB62" t="s">
        <v>971</v>
      </c>
      <c r="AC62">
        <v>0</v>
      </c>
      <c r="AD62">
        <v>0</v>
      </c>
      <c r="ED62" t="s">
        <v>1646</v>
      </c>
      <c r="EE62" t="s">
        <v>1802</v>
      </c>
      <c r="ER62" t="s">
        <v>2226</v>
      </c>
      <c r="ES62" t="s">
        <v>2214</v>
      </c>
    </row>
    <row r="63" spans="1:149">
      <c r="A63" t="str">
        <f>'Translate&amp;Prices&amp;Logo'!$B$82</f>
        <v>Rocca elox (lewa i prawa) + Varna elox (góra i dół)</v>
      </c>
      <c r="B63">
        <v>3</v>
      </c>
      <c r="C63" t="s">
        <v>651</v>
      </c>
      <c r="D63">
        <v>0</v>
      </c>
      <c r="AB63" t="s">
        <v>973</v>
      </c>
      <c r="AC63">
        <v>0</v>
      </c>
      <c r="AD63">
        <v>0</v>
      </c>
      <c r="ED63" t="s">
        <v>1647</v>
      </c>
      <c r="EE63" t="s">
        <v>1803</v>
      </c>
      <c r="ER63" t="s">
        <v>2479</v>
      </c>
      <c r="ES63" t="s">
        <v>2463</v>
      </c>
    </row>
    <row r="64" spans="1:149">
      <c r="A64" t="str">
        <f>'Translate&amp;Prices&amp;Logo'!$B$83</f>
        <v>Rocca czarny (lewa i prawa) + Varna czarny (góra i dół)</v>
      </c>
      <c r="B64">
        <v>3</v>
      </c>
      <c r="C64" t="s">
        <v>651</v>
      </c>
      <c r="D64">
        <v>0</v>
      </c>
      <c r="ED64" t="s">
        <v>1648</v>
      </c>
      <c r="EE64" t="s">
        <v>1804</v>
      </c>
      <c r="ER64" t="s">
        <v>2480</v>
      </c>
      <c r="ES64" t="s">
        <v>2464</v>
      </c>
    </row>
    <row r="65" spans="1:149">
      <c r="A65" t="str">
        <f>'Translate&amp;Prices&amp;Logo'!$B$73</f>
        <v>ROMA czarna matowa -  maksymalna zalecana długość profilu 2696 mm</v>
      </c>
      <c r="B65">
        <v>1</v>
      </c>
      <c r="C65" t="s">
        <v>651</v>
      </c>
      <c r="D65">
        <v>0</v>
      </c>
      <c r="ED65" t="s">
        <v>1682</v>
      </c>
      <c r="EE65" t="s">
        <v>3183</v>
      </c>
      <c r="EF65">
        <f>LEN(EE65)</f>
        <v>71</v>
      </c>
      <c r="ER65" t="s">
        <v>2245</v>
      </c>
      <c r="ES65" t="s">
        <v>2233</v>
      </c>
    </row>
    <row r="66" spans="1:149">
      <c r="A66" t="str">
        <f>'Translate&amp;Prices&amp;Logo'!$B$74</f>
        <v>ROMA champagne mat - maksymalna zalecana długość profilu 2696 mm</v>
      </c>
      <c r="B66">
        <v>1</v>
      </c>
      <c r="C66" t="s">
        <v>651</v>
      </c>
      <c r="D66">
        <v>0</v>
      </c>
      <c r="ED66" t="s">
        <v>1683</v>
      </c>
      <c r="EE66" t="s">
        <v>3186</v>
      </c>
      <c r="ER66" t="s">
        <v>2246</v>
      </c>
      <c r="ES66" t="s">
        <v>2234</v>
      </c>
    </row>
    <row r="67" spans="1:149">
      <c r="A67" t="str">
        <f>'Translate&amp;Prices&amp;Logo'!$B$75</f>
        <v>ROMA GRIP czarna matowa - maksymalna zalecana długość profilu 2696 mm</v>
      </c>
      <c r="B67">
        <v>1</v>
      </c>
      <c r="C67" t="s">
        <v>651</v>
      </c>
      <c r="D67">
        <v>0</v>
      </c>
      <c r="Q67" t="str">
        <f>'Translate&amp;Prices&amp;Logo'!$B$71</f>
        <v>BRW champagne - maksymalna zalecana długość profilu 2500 mm</v>
      </c>
      <c r="ED67" t="s">
        <v>1684</v>
      </c>
      <c r="EE67" t="s">
        <v>3188</v>
      </c>
      <c r="ER67" t="s">
        <v>2247</v>
      </c>
      <c r="ES67" t="s">
        <v>2235</v>
      </c>
    </row>
    <row r="68" spans="1:149">
      <c r="A68" t="str">
        <f>'Translate&amp;Prices&amp;Logo'!$B$76</f>
        <v>ROMA GRIP champagne mat - maksymalna zalecana długość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honeticPr fontId="3" type="noConversion"/>
  <pageMargins left="0.70866141732283472" right="0.70866141732283472" top="0.78740157480314965" bottom="0.78740157480314965" header="0.31496062992125984" footer="0.31496062992125984"/>
  <pageSetup paperSize="9" scale="75" orientation="portrait" r:id="rId1"/>
  <extLst>
    <ext xmlns:x14="http://schemas.microsoft.com/office/spreadsheetml/2009/9/main" uri="{78C0D931-6437-407d-A8EE-F0AAD7539E65}">
      <x14:conditionalFormattings>
        <x14:conditionalFormatting xmlns:xm="http://schemas.microsoft.com/office/excel/2006/main">
          <x14:cfRule type="expression" priority="5" id="{91085D76-2D30-4054-8935-D6FA72D38B6D}">
            <xm:f>OR(Ram_1!$AU$10=1,Ram_1!$AU$10=3)</xm:f>
            <x14:dxf>
              <fill>
                <patternFill patternType="darkDown"/>
              </fill>
            </x14:dxf>
          </x14:cfRule>
          <xm:sqref>CH13</xm:sqref>
        </x14:conditionalFormatting>
        <x14:conditionalFormatting xmlns:xm="http://schemas.microsoft.com/office/excel/2006/main">
          <x14:cfRule type="expression" priority="6" id="{257F6BD4-66BB-407F-B97B-27CD670152DA}">
            <xm:f>OR(Ram_1!$AU$10=2,Ram_1!$AU$10=3)</xm:f>
            <x14:dxf>
              <fill>
                <patternFill patternType="darkDown"/>
              </fill>
            </x14:dxf>
          </x14:cfRule>
          <xm:sqref>CH14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D4D-E53F-42B0-BD94-BA1D69D1ED4A}">
  <sheetPr codeName="List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9.425781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"&amp;2</f>
        <v>Ramka  2</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Wprowadzenie</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IFERROR(IF(kombinace_2!FC2=TRUE,'Translate&amp;Prices&amp;Logo'!B656,IF(VLOOKUP(H8,kombinace_2!$A:$E,5,0)=3,'Translate&amp;Prices&amp;Logo'!B644,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Ramka  1</v>
      </c>
      <c r="C5" s="594"/>
      <c r="D5" s="594"/>
      <c r="E5" s="106"/>
      <c r="F5" s="593" t="str">
        <f>'Translate&amp;Prices&amp;Logo'!$B$171&amp;" "&amp;" "&amp;2</f>
        <v>Ramka  2</v>
      </c>
      <c r="G5" s="593"/>
      <c r="H5" s="593"/>
      <c r="I5" s="9"/>
      <c r="J5" s="594" t="str">
        <f>'Translate&amp;Prices&amp;Logo'!$B$171&amp;" "&amp;" "&amp;3</f>
        <v>Ramka  3</v>
      </c>
      <c r="K5" s="594"/>
      <c r="L5" s="594"/>
      <c r="M5" s="9"/>
      <c r="N5" s="594" t="str">
        <f>'Translate&amp;Prices&amp;Logo'!$B$171&amp;" "&amp;" "&amp;4</f>
        <v>Ramka  4</v>
      </c>
      <c r="O5" s="594"/>
      <c r="P5" s="594"/>
      <c r="Q5" s="9"/>
      <c r="R5" s="594" t="str">
        <f>'Translate&amp;Prices&amp;Logo'!$B$171&amp;" "&amp;" "&amp;5</f>
        <v>Ramka  5</v>
      </c>
      <c r="S5" s="594"/>
      <c r="T5" s="594"/>
      <c r="U5" s="9"/>
      <c r="V5" s="594" t="str">
        <f>'Translate&amp;Prices&amp;Logo'!$B$171&amp;" "&amp;" "&amp;6</f>
        <v>Ramka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Połączenie 2 profili</v>
      </c>
      <c r="C7" s="598"/>
      <c r="D7" s="598"/>
      <c r="E7" s="598"/>
      <c r="F7" s="598"/>
      <c r="G7" s="635" t="str">
        <f>IF(kombinace_2!FC2=TRUE,AB4,"")</f>
        <v/>
      </c>
      <c r="H7" s="635"/>
      <c r="I7" s="635"/>
      <c r="J7" s="635"/>
      <c r="K7" s="635"/>
      <c r="L7" s="635"/>
      <c r="M7" s="635"/>
      <c r="N7" s="635"/>
      <c r="O7" s="635"/>
      <c r="P7" s="635"/>
      <c r="Q7" s="636"/>
      <c r="R7" s="224"/>
      <c r="S7" s="602" t="str">
        <f>'Translate&amp;Prices&amp;Logo'!$B$574</f>
        <v>Ważne informacje: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VLOOKUP(H8,kombinace_2!$A3:$B100,2,0)</f>
        <v>#N/A</v>
      </c>
      <c r="AV7" s="140" t="e">
        <f>IF(AU7=2,"Široký",IF(AU7=1,"Úzký",IF(AU7=3,"kombo")))</f>
        <v>#N/A</v>
      </c>
    </row>
    <row r="8" spans="1:65" ht="45.6" customHeight="1">
      <c r="A8" s="61"/>
      <c r="B8" s="216" t="str">
        <f>'Translate&amp;Prices&amp;Logo'!$B$655</f>
        <v>Wypełnienie z siatki</v>
      </c>
      <c r="C8" s="217"/>
      <c r="D8" s="217"/>
      <c r="E8" s="218" t="str">
        <f>'Translate&amp;Prices&amp;Logo'!$B$174</f>
        <v>Rodzaj profilu</v>
      </c>
      <c r="F8" s="218"/>
      <c r="G8" s="223"/>
      <c r="H8" s="603"/>
      <c r="I8" s="603"/>
      <c r="J8" s="603"/>
      <c r="K8" s="603"/>
      <c r="L8" s="603"/>
      <c r="M8" s="603"/>
      <c r="N8" s="603"/>
      <c r="O8" s="603"/>
      <c r="P8" s="603"/>
      <c r="Q8" s="604"/>
      <c r="R8" s="225"/>
      <c r="S8" s="617" t="str">
        <f>IF(AU10&gt;0,'Translate&amp;Prices&amp;Logo'!B305,IF(OR(H8=kombinace_2!A64,H8=kombinace_2!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Odległość od lewej krawędzi</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IFERROR(IF(AND(VLOOKUP(H8,kombinace_2!$A:$D,4,0)=1,kombinace_2!FC2=FALSE),'Translate&amp;Prices&amp;Logo'!$B$545,0),0)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Rozstaw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IFERROR((VLOOKUP(H12,kombinace_2!$DP$2:$DQ$3,2,0)),"")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Odległość od górnej krawędzi</v>
      </c>
      <c r="AF10" s="9"/>
      <c r="AG10" s="9"/>
      <c r="AH10" s="9"/>
      <c r="AI10" s="60"/>
      <c r="AJ10" s="61"/>
      <c r="AK10" s="9"/>
      <c r="AL10" s="9"/>
      <c r="AM10" s="9"/>
      <c r="AN10" s="9"/>
      <c r="AO10" s="9"/>
      <c r="AP10" s="77"/>
      <c r="AQ10" s="307"/>
      <c r="AR10" s="9"/>
      <c r="AS10" s="9"/>
      <c r="AT10" s="139" t="s">
        <v>1196</v>
      </c>
      <c r="AU10" s="140">
        <f>IFERROR(VLOOKUP(H9,kombinace_2!$BY$13:$BZ$15,2,0),0)</f>
        <v>0</v>
      </c>
      <c r="AV10" s="140"/>
    </row>
    <row r="11" spans="1:65" ht="18" customHeight="1">
      <c r="A11" s="61"/>
      <c r="B11" s="631" t="str">
        <f>('Translate&amp;Prices&amp;Logo'!$B$545)&amp;" "&amp;"("&amp;'Translate&amp;Prices&amp;Logo'!$B$176&amp;")"</f>
        <v>Szprosy (Ilość sztuk)</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IFERROR(IF(kombinace_2!$H$1=TRUE,BA2+AY3,0),0)</f>
        <v>0</v>
      </c>
      <c r="AU11" s="146"/>
      <c r="AV11" s="140"/>
    </row>
    <row r="12" spans="1:65" ht="18" customHeight="1">
      <c r="A12" s="61"/>
      <c r="B12" s="608" t="str">
        <f>'Translate&amp;Prices&amp;Logo'!$B$260</f>
        <v>Typ okucia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Marka okucia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Rozstaw  mm</v>
      </c>
      <c r="AE14" s="647"/>
      <c r="AF14" s="9"/>
      <c r="AG14" s="9"/>
      <c r="AH14" s="9"/>
      <c r="AI14" s="60"/>
      <c r="AJ14" s="61"/>
      <c r="AK14" s="9"/>
      <c r="AL14" s="9"/>
      <c r="AM14" s="645" t="str">
        <f>('Translate&amp;Prices&amp;Logo'!$B$550)&amp;" "&amp;H26&amp;" "&amp;"mm"</f>
        <v>Rozstaw  mm</v>
      </c>
      <c r="AN14" s="9"/>
      <c r="AO14" s="81"/>
      <c r="AP14" s="74"/>
      <c r="AQ14" s="307"/>
      <c r="AR14" s="585"/>
      <c r="AS14" s="9"/>
      <c r="AT14" s="146"/>
      <c r="AU14" s="140"/>
      <c r="AV14" s="140"/>
      <c r="AW14" s="165" t="s">
        <v>2197</v>
      </c>
    </row>
    <row r="15" spans="1:65" ht="18" customHeight="1" thickBot="1">
      <c r="A15" s="61"/>
      <c r="B15" s="608" t="str">
        <f>'Translate&amp;Prices&amp;Logo'!$B$547</f>
        <v>Wariant okucia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IF(H15=kombinace_2!AB40,'Translate&amp;Prices&amp;Logo'!$B$226,IF(H15=kombinace_2!AB41,'Translate&amp;Prices&amp;Logo'!$B$226,IF(H12='závěsy dle výklopu'!BQ2,'Translate&amp;Prices&amp;Logo'!$B$224,'Translate&amp;Prices&amp;Logo'!$B$220)))</f>
        <v>Wybierz pozycję ramki</v>
      </c>
      <c r="C16" s="630"/>
      <c r="D16" s="630"/>
      <c r="E16" s="630"/>
      <c r="F16" s="628"/>
      <c r="G16" s="628"/>
      <c r="H16" s="628"/>
      <c r="I16" s="628"/>
      <c r="J16" s="624" t="str">
        <f>IF(OR(H15=kombinace_2!AB40,H15=kombinace_2!AB7,H15=kombinace_2!AB15,H15=kombinace_2!AB20,H15=kombinace_2!AB21,H15=kombinace_2!AB22),'Translate&amp;Prices&amp;Logo'!$B$228,IF(H15=kombinace_2!AB41,'Translate&amp;Prices&amp;Logo'!$B$228,'Translate&amp;Prices&amp;Logo'!$B$234))</f>
        <v>Rodzaj drugiej ramki</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IF(H12='Translate&amp;Prices&amp;Logo'!B553,'Translate&amp;Prices&amp;Logo'!B240,IF(H15=kombinace_2!AB8,'Translate&amp;Prices&amp;Logo'!B286,0))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IF(H13="Salice",VLOOKUP(H17,kombinace_2!$BY:$BZ,2,0),0)</f>
        <v>0</v>
      </c>
    </row>
    <row r="18" spans="1:52" ht="18" customHeight="1">
      <c r="A18" s="61"/>
      <c r="B18" s="608">
        <f>IFERROR(IF(VLOOKUP(H15,kombinace_2!CD:CE,2,0)=1,'Translate&amp;Prices&amp;Logo'!$B$549,0),0)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IFERROR(IF(H12='Translate&amp;Prices&amp;Logo'!B553,'Translate&amp;Prices&amp;Logo'!$B$225,IF(VLOOKUP(H15,kombinace_2!CD:CE,2,0)=1,'Translate&amp;Prices&amp;Logo'!$B$225,)),0)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Odległość od dolnej krawędzi</v>
      </c>
      <c r="AM19" s="645"/>
      <c r="AN19" s="584">
        <v>0</v>
      </c>
      <c r="AO19" s="584"/>
      <c r="AP19" s="76"/>
      <c r="AQ19" s="307"/>
      <c r="AR19" s="583" t="str">
        <f>'Translate&amp;Prices&amp;Logo'!$B$178</f>
        <v>Wysokość</v>
      </c>
      <c r="AS19" s="9"/>
      <c r="AT19" s="146"/>
      <c r="AU19" s="138">
        <f>IFERROR(IF(H12='závěsy dle výklopu'!BR2,VLOOKUP(H15,kombinace_2!$CD$3:$CF$18,3,0),IF(H12='závěsy dle výklopu'!BQ2,1,0)),0)</f>
        <v>0</v>
      </c>
      <c r="AV19" s="140">
        <f>IFERROR(VLOOKUP(H15,kombinace_2!$CD:$CF,3,0),0)</f>
        <v>0</v>
      </c>
    </row>
    <row r="20" spans="1:52" ht="18" customHeight="1">
      <c r="A20" s="61"/>
      <c r="B20" s="633">
        <f>IF(H13&lt;&gt;"Salice",(IFERROR(VLOOKUP(H17,kombinace_2!$BY$32:$CA$35,2,0),0)),0)</f>
        <v>0</v>
      </c>
      <c r="C20" s="634"/>
      <c r="D20" s="634"/>
      <c r="E20" s="634"/>
      <c r="F20" s="620">
        <v>100</v>
      </c>
      <c r="G20" s="620"/>
      <c r="H20" s="620"/>
      <c r="I20" s="620"/>
      <c r="J20" s="634">
        <f>IFERROR(VLOOKUP(H17,kombinace_2!$BY$32:$CA$35,3,0),0)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IF(kombinace_2!FC2=FALSE,'Translate&amp;Prices&amp;Logo'!$B$175," ")</f>
        <v>Rodzaj szkła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Nie zmieniaj po wybraniu rodzaj szkła/siatka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VLOOKUP(H17,kombinace_2!$BY$3:$BZ$6,2,0)</f>
        <v>#N/A</v>
      </c>
      <c r="AV23" s="140"/>
    </row>
    <row r="24" spans="1:52" ht="18" customHeight="1">
      <c r="A24" s="61"/>
      <c r="B24" s="669" t="str">
        <f>'Translate&amp;Prices&amp;Logo'!$B$564</f>
        <v>Rodzaj folii</v>
      </c>
      <c r="C24" s="670"/>
      <c r="D24" s="670"/>
      <c r="E24" s="670"/>
      <c r="F24" s="670"/>
      <c r="G24" s="98"/>
      <c r="H24" s="590"/>
      <c r="I24" s="590"/>
      <c r="J24" s="590"/>
      <c r="K24" s="590"/>
      <c r="L24" s="590"/>
      <c r="M24" s="590"/>
      <c r="N24" s="590"/>
      <c r="O24" s="590"/>
      <c r="P24" s="590"/>
      <c r="Q24" s="607"/>
      <c r="R24" s="61"/>
      <c r="S24" s="602" t="str">
        <f>'Translate&amp;Prices&amp;Logo'!$B$179</f>
        <v>Uwagi (notatki)</v>
      </c>
      <c r="T24" s="602"/>
      <c r="U24" s="602"/>
      <c r="Z24" s="80"/>
      <c r="AA24" s="78"/>
      <c r="AB24" s="79"/>
      <c r="AC24" s="600" t="str">
        <f>'Translate&amp;Prices&amp;Logo'!$B$244</f>
        <v>Odległość od lewej krawędzi</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Rodzaj szkła/siatka</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Rozstaw  mm</v>
      </c>
      <c r="AG25" s="599"/>
      <c r="AH25" s="599"/>
      <c r="AI25" s="599"/>
      <c r="AJ25" s="599"/>
      <c r="AK25" s="599"/>
      <c r="AL25" s="644"/>
      <c r="AM25" s="601"/>
      <c r="AN25" s="9"/>
      <c r="AO25" s="80"/>
      <c r="AP25" s="83"/>
      <c r="AQ25" s="307"/>
      <c r="AR25" s="9"/>
      <c r="AS25" s="9"/>
      <c r="AT25" s="146"/>
      <c r="AU25" s="140" t="e">
        <f>VLOOKUP(H27,kombinace_2!$BY3:$BZ6,2,0)</f>
        <v>#N/A</v>
      </c>
      <c r="AV25" s="140"/>
    </row>
    <row r="26" spans="1:52" ht="18" customHeight="1">
      <c r="A26" s="61"/>
      <c r="B26" s="608" t="str">
        <f>'Translate&amp;Prices&amp;Logo'!$B$551</f>
        <v>Rozstaw uchwytu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Umieszczenie uchwytu</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Ilość sztuk</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VLOOKUP(H14,kombinace_2!$DN$7:$DO$24,2,0)</f>
        <v>#N/A</v>
      </c>
      <c r="AB29" s="643">
        <f>IF(kombinace_2!FC2=TRUE,AB4,IF(H12='závěsy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ramek</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zl</v>
      </c>
      <c r="Q30" s="659"/>
      <c r="R30" s="61"/>
      <c r="S30" s="652"/>
      <c r="T30" s="653"/>
      <c r="U30" s="653"/>
      <c r="V30" s="653"/>
      <c r="W30" s="653"/>
      <c r="X30" s="653"/>
      <c r="Y30" s="654"/>
      <c r="Z30" s="9"/>
      <c r="AA30" s="9"/>
      <c r="AB30" s="61"/>
      <c r="AC30" s="9"/>
      <c r="AD30" s="9"/>
      <c r="AE30" s="9"/>
      <c r="AF30" s="642" t="str">
        <f>'Translate&amp;Prices&amp;Logo'!$B$177</f>
        <v>Szerokość</v>
      </c>
      <c r="AG30" s="642"/>
      <c r="AH30" s="642"/>
      <c r="AI30" s="637"/>
      <c r="AJ30" s="637"/>
      <c r="AK30" s="637"/>
      <c r="AL30" s="9"/>
      <c r="AM30" s="9"/>
      <c r="AN30" s="9"/>
      <c r="AO30" s="9"/>
      <c r="AP30" s="9"/>
      <c r="AQ30" s="9"/>
      <c r="AR30" s="9"/>
      <c r="AS30" s="9"/>
      <c r="AT30" s="146"/>
      <c r="AU30" s="138" t="e">
        <f>HLOOKUP("_Úzký_dolny_K12",kombinace_2!CV2:CW19,3,FALSE)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Podsumowanie</v>
      </c>
      <c r="AP31" s="512"/>
      <c r="AQ31" s="512"/>
      <c r="AR31" s="512"/>
      <c r="AS31" s="9"/>
      <c r="AT31" s="146"/>
      <c r="AU31" s="138" t="e">
        <f>AD44</f>
        <v>#N/A</v>
      </c>
    </row>
    <row r="32" spans="1:52" ht="17.25" customHeight="1">
      <c r="A32" s="61"/>
      <c r="B32" s="625" t="str">
        <f>'Translate&amp;Prices&amp;Logo'!$B$173</f>
        <v>Podane ceny nie zawierają podatku VAT ani nie zawierają ceny okuć!</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Ramki aluminiowe bez szkła dostarczane są w stanie rozmontowanym.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IF(kombinace_2!V1=2,((AR14/1000)*(AI30/1000))*'Translate&amp;Prices&amp;Logo'!C96,0)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IF(kombinace_2!$V$1=3,IFERROR(((VLOOKUP(H24,'Translate&amp;Prices&amp;Logo'!B93:C95,2,0))*(AR14/1000)),0),0)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IF(kombinace_2!FC2=TRUE,_profily_síťka,IF(kombinace_2!H1=TRUE,_kombinovane_profily,_vše_profily))</f>
        <v>BRW (elox.) - maksymalna zalecana długość profilu 2500 mm</v>
      </c>
      <c r="L36" s="157" t="str">
        <f t="array" ref="L36:M36">IF(kombinace_2!H1=TRUE,'závěsy dle výklopu'!$BQ$2:$BR$2,
IF(H8=kombinace_2!A41,'závěsy dle výklopu'!$BQ$2,IF(H8=kombinace_2!A42,'závěsy dle výklopu'!$BQ$2,IF(H8=kombinace_2!A65,'závěsy dle výklopu'!$BQ$2,IF(H8=kombinace_2!A66,'závěsy dle výklopu'!$BQ$2,IF(H8=kombinace_2!A67,'závěsy dle výklopu'!$BQ$2,IF(H8=kombinace_2!A68,'závěsy dle výklopu'!$BQ$2,IF(OR(H8='Translate&amp;Prices&amp;Logo'!B66,H8='Translate&amp;Prices&amp;Logo'!B67,H8='Translate&amp;Prices&amp;Logo'!B68,H8='Translate&amp;Prices&amp;Logo'!B69,H8='Translate&amp;Prices&amp;Logo'!B70),"",'závěsy dle výklopu'!$BQ$2:$BR$2))))))))</f>
        <v>Zawiasy</v>
      </c>
      <c r="M36" s="157" t="str">
        <v>Podnośniki</v>
      </c>
      <c r="P36" s="157" t="str" cm="1">
        <f t="array" ref="P36:P38">IF(H13=kombinace_2!BQ11,kombinace_2!$DN$2,kombinace_2!$DN$2:$DN$4)</f>
        <v>Nakładany</v>
      </c>
      <c r="T36" s="157">
        <f t="array" aca="1" ref="T36:T44" ca="1">IF(H13=kombinace_2!BQ11,
  kombinace_2!$FA$2:$FA$9,
  IF(AND(OR(H8=kombinace_2!A41,H8=kombinace_2!A42),H13='závěsy dle výklopu'!BQ4),
    INDIRECT(VLOOKUP(AD42&amp;"_Rocca",kombinace_2!$ER$1:$ES$108,2,0)),
    IF($AU$9=2,
      INDIRECT(VLOOKUP(AD42,kombinace_2!$ER$1:$ES$108,2,0)),
      IF($AU$9=3,
        INDIRECT(VLOOKUP($T$47,kombinace_2!$AA$1:$AB$100,2,0)),
      $Y$48)
    )
  )
)</f>
        <v>0</v>
      </c>
      <c r="AF36" s="157" t="e">
        <f>HLOOKUP($AD$44,'závěsy dle výklopu'!$CG$4:$EZ$10,2,0)</f>
        <v>#N/A</v>
      </c>
      <c r="AJ36" s="157">
        <f t="array" ref="AJ36:AJ40">IF(AM19&lt;2100,kombinace_2!BY8:BY12,kombinace_2!BY8:BY12)</f>
        <v>2</v>
      </c>
      <c r="AW36" s="248"/>
      <c r="AX36" s="248"/>
      <c r="AY36" s="248"/>
    </row>
    <row r="37" spans="1:58" s="157" customFormat="1" ht="15" hidden="1" customHeight="1">
      <c r="A37" s="140"/>
      <c r="B37" s="157" t="str">
        <v>BRW bialy matowy RAL 9003 - maksymalna zalecana długość profilu 2500 mm</v>
      </c>
      <c r="P37" s="157" t="e">
        <v>#N/A</v>
      </c>
      <c r="T37" s="157">
        <f ca="1"/>
        <v>0</v>
      </c>
      <c r="W37" s="157" t="str" cm="1">
        <f t="array" ref="W37">IF(Hlavní!$V$39=3,"",'Translate&amp;Prices&amp;Logo'!B558:B559)</f>
        <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bialy połysk RAL 9003 - maksymalna zalecana długość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szczotkowany - maksymalna zalecana długość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Czarny matowy - maksymalna zalecana długość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czarna szczotka - maksymalna zalecana długość profilu 2500 mm</v>
      </c>
      <c r="L41" s="157" t="str">
        <v xml:space="preserve">Kesseböhmer </v>
      </c>
      <c r="T41" s="157">
        <f ca="1"/>
        <v>0</v>
      </c>
      <c r="U41" s="157">
        <f>IF(Hlavní!$V$39=3,1,2)</f>
        <v>1</v>
      </c>
      <c r="AE41" s="157">
        <f>AF41</f>
        <v>0</v>
      </c>
      <c r="AH41" s="274"/>
      <c r="AI41" s="275" t="s">
        <v>3460</v>
      </c>
      <c r="AJ41" s="275" t="s">
        <v>3461</v>
      </c>
      <c r="AS41" s="157" t="s">
        <v>1198</v>
      </c>
      <c r="AW41" s="248"/>
      <c r="AX41" s="248"/>
      <c r="AY41" s="248"/>
    </row>
    <row r="42" spans="1:58" s="157" customFormat="1" ht="18.600000000000001" hidden="1" customHeight="1">
      <c r="A42" s="140"/>
      <c r="B42" s="157" t="str">
        <v>BRW INOX ACIER gratta - maksymalna zalecana długość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antracyt RAL 7021 - maksymalna zalecana długość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2!FC2=TRUE,500,AJ43))),"")</f>
        <v/>
      </c>
      <c r="AJ43" s="277" t="str">
        <f>IFERROR((IF(kombinace_2!FC2=TRUE,1000,VLOOKUP(H8,'Translate&amp;Prices&amp;Logo'!B6:U84,20,0))),"")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maksymalna zalecana długość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maksymalna zalecana długość profilu 2500 mm</v>
      </c>
      <c r="M45" s="157" t="s">
        <v>2496</v>
      </c>
      <c r="N45" s="157" t="s">
        <v>1039</v>
      </c>
      <c r="AS45" s="133"/>
      <c r="AW45" s="248"/>
      <c r="AX45" s="248"/>
      <c r="AY45" s="248"/>
    </row>
    <row r="46" spans="1:58" s="157" customFormat="1" ht="14.85" hidden="1" customHeight="1">
      <c r="A46" s="140"/>
      <c r="B46" s="157" t="str">
        <v>BRW brąz - maksymalna zalecana długość profilu 2500 mm</v>
      </c>
      <c r="M46" s="157" t="s">
        <v>4254</v>
      </c>
    </row>
    <row r="47" spans="1:58" s="157" customFormat="1" ht="14.85" hidden="1" customHeight="1">
      <c r="A47" s="140"/>
      <c r="B47" s="157" t="str">
        <v>BRW INOX LIJA - maksymalna zalecana długość profilu 2500 mm</v>
      </c>
      <c r="M47" s="157" t="s">
        <v>4255</v>
      </c>
      <c r="T47" s="157" t="str">
        <f>CONCATENATE(H13,"_",VLOOKUP(kombinace_2!H1,kombinace_2!$J$14:$K$15,2,0))</f>
        <v>_2</v>
      </c>
      <c r="AD47" s="157" t="s">
        <v>4253</v>
      </c>
      <c r="AI47" s="112"/>
      <c r="AJ47" s="270"/>
      <c r="AN47" s="581"/>
      <c r="AO47" s="581"/>
      <c r="AP47" s="581"/>
      <c r="AQ47" s="581"/>
    </row>
    <row r="48" spans="1:58" s="157" customFormat="1" ht="14.85" hidden="1" customHeight="1">
      <c r="A48" s="140"/>
      <c r="B48" s="157" t="str">
        <v>BRW kaszmirowy - maksymalna zalecana długość profilu 2500 mm</v>
      </c>
      <c r="T48" s="157" t="e">
        <f>VLOOKUP(AD42,kombinace_2!ER1:ES120,2,0)</f>
        <v>#N/A</v>
      </c>
      <c r="AS48"/>
      <c r="AT48"/>
    </row>
    <row r="49" spans="1:46" s="157" customFormat="1" ht="14.85" hidden="1" customHeight="1">
      <c r="A49" s="140"/>
      <c r="B49" s="157" t="str">
        <v>BRW złota- maksymalna zalecana długość profilu 2500 mm</v>
      </c>
      <c r="AS49"/>
      <c r="AT49"/>
    </row>
    <row r="50" spans="1:46" s="157" customFormat="1" ht="14.85" hidden="1" customHeight="1">
      <c r="A50" s="140"/>
      <c r="B50" s="157" t="str">
        <v>BRW złota szczotkowany - maksymalna zalecana zalecana długość profilu 2500 mm</v>
      </c>
      <c r="AS50"/>
      <c r="AT50"/>
    </row>
    <row r="51" spans="1:46" s="157" customFormat="1" ht="14.85" hidden="1" customHeight="1">
      <c r="A51" s="140"/>
      <c r="B51" s="157" t="str">
        <v>Corleone (elox.)- maksymalna zalecana długość profilu 1500 mm</v>
      </c>
      <c r="AS51"/>
      <c r="AT51"/>
    </row>
    <row r="52" spans="1:46" s="157" customFormat="1" ht="14.85" hidden="1" customHeight="1">
      <c r="A52" s="140"/>
      <c r="B52" s="157" t="str">
        <v>Corleone czarny matowy - maksymalna zalecana długość profilu 1500 mm</v>
      </c>
      <c r="AS52"/>
      <c r="AT52"/>
    </row>
    <row r="53" spans="1:46" s="157" customFormat="1" ht="14.85" hidden="1" customHeight="1">
      <c r="A53" s="140"/>
      <c r="B53" s="157" t="str">
        <v>ASTI  czarne  - maksymalna zalecana długość profilu 2150</v>
      </c>
      <c r="AS53"/>
      <c r="AT53"/>
    </row>
    <row r="54" spans="1:46" s="157" customFormat="1" ht="14.85" hidden="1" customHeight="1">
      <c r="A54" s="140"/>
      <c r="B54" s="157" t="str">
        <v>ASTI  antracyt mat RAL 7021 mat lakier - maksymalna zalecana długość profilu 2500 mm</v>
      </c>
      <c r="K54" s="157" t="str">
        <f t="array" ref="K54:K58">IF(OR($H$15=kombinace_2!AB40,$H$15=kombinace_2!AB7,$H$15=kombinace_2!AB15,$H$15=kombinace_2!AB20,$H$15=kombinace_2!AB21,$H$15=kombinace_2!AB22),'Translate&amp;Prices&amp;Logo'!$B$231:$B$233,IF($H$15=kombinace_2!AB41,'Translate&amp;Prices&amp;Logo'!$B$231:$B$233,'Translate&amp;Prices&amp;Logo'!$B$235:$B$239))</f>
        <v>Wąska ALU ramka</v>
      </c>
      <c r="T54" s="157" t="str">
        <f t="array" ref="T54:T56">kombinace_2!$EN$3:$EN$5</f>
        <v>Bez modyfikacji</v>
      </c>
      <c r="U54" s="157">
        <v>1</v>
      </c>
      <c r="X54" s="157" t="str">
        <f t="array" ref="X54:X56">kombinace_2!$X$3:$X$5</f>
        <v>transparentna</v>
      </c>
      <c r="AD54" s="157" t="e" cm="1">
        <f t="array" aca="1" ref="AD54" ca="1">IF(kombinace_2!FC2=FALSE,
INDIRECT(kombinace_2!S1),
IF(kombinace_2!FC2=TRUE,INDIRECT(VLOOKUP(Ram_2!H8,'závěsy dle výklopu'!A81:B90,2,0)),0))</f>
        <v>#N/A</v>
      </c>
      <c r="AS54"/>
      <c r="AT54"/>
    </row>
    <row r="55" spans="1:46" s="157" customFormat="1" ht="14.85" hidden="1" customHeight="1">
      <c r="A55" s="140"/>
      <c r="B55" s="157" t="str">
        <v>Imola (elox.) - maksymalna zalecana długość profilu 2500 mm</v>
      </c>
      <c r="K55" s="157" t="str">
        <v>Szeroka ALU ramka</v>
      </c>
      <c r="T55" s="157" t="str">
        <v>Hartowane (termin dostawy 4 tygodnie)</v>
      </c>
      <c r="U55" s="157">
        <v>2</v>
      </c>
      <c r="X55" s="157" t="str">
        <v>Biała</v>
      </c>
      <c r="AS55"/>
      <c r="AT55"/>
    </row>
    <row r="56" spans="1:46" s="157" customFormat="1" ht="14.85" hidden="1" customHeight="1">
      <c r="A56" s="140"/>
      <c r="B56" s="157" t="str">
        <v>Imola Czarny matowy - maksymalna zalecana długość profilu 2500 mm</v>
      </c>
      <c r="K56" s="157" t="str">
        <v>MDF grubość 16mm</v>
      </c>
      <c r="T56" s="157" t="str">
        <v>Folia</v>
      </c>
      <c r="U56" s="157">
        <v>3</v>
      </c>
      <c r="X56" s="157" t="str">
        <v>czarna</v>
      </c>
    </row>
    <row r="57" spans="1:46" s="157" customFormat="1" ht="14.85" hidden="1" customHeight="1">
      <c r="A57" s="140"/>
      <c r="B57" s="157" t="str">
        <v>Imola bialy matowy RAL 9003 - maksymalna zalecana długość profilu 2500 mm</v>
      </c>
      <c r="K57" s="157" t="str">
        <v>MDF grubość 18mm</v>
      </c>
    </row>
    <row r="58" spans="1:46" s="157" customFormat="1" ht="14.85" hidden="1" customHeight="1">
      <c r="A58" s="140"/>
      <c r="B58" s="157" t="str">
        <v>Imola złota - maksymalna zalecana zalecana długość profilu 2150 mm</v>
      </c>
      <c r="K58" s="157" t="str">
        <v>Płyta melaminowana grubość 18mm</v>
      </c>
    </row>
    <row r="59" spans="1:46" s="157" customFormat="1" ht="14.85" hidden="1" customHeight="1">
      <c r="A59" s="140"/>
      <c r="B59" s="157" t="str">
        <v>Modena (elox.) - maksymalna zalecana długość profilu 2500 mm</v>
      </c>
      <c r="T59" s="157">
        <f>IFERROR(VLOOKUP($H$21,$T$54:$U$56,2,0),0)</f>
        <v>0</v>
      </c>
    </row>
    <row r="60" spans="1:46" s="157" customFormat="1" ht="14.85" hidden="1" customHeight="1">
      <c r="A60" s="140"/>
      <c r="B60" s="157" t="str">
        <v>Modena Czarny matowy - maksymalna zalecana długość profilu 2500 mm</v>
      </c>
      <c r="K60" s="157" t="b">
        <f>K56=K61</f>
        <v>0</v>
      </c>
    </row>
    <row r="61" spans="1:46" s="157" customFormat="1" ht="14.85" hidden="1" customHeight="1">
      <c r="A61" s="140"/>
      <c r="B61" s="157" t="str">
        <v>Modena czarna szczotka - maksymalna zalecana długość profilu 2500 mm</v>
      </c>
      <c r="H61" s="157" t="str">
        <f>'Translate&amp;Prices&amp;Logo'!$B$188</f>
        <v>Dolne drzwi</v>
      </c>
      <c r="K61" s="157" t="str">
        <f>'Translate&amp;Prices&amp;Logo'!$B$233</f>
        <v>2 sztuki (obydwie strony)</v>
      </c>
    </row>
    <row r="62" spans="1:46" s="157" customFormat="1" ht="14.85" hidden="1" customHeight="1">
      <c r="A62" s="140"/>
      <c r="B62" s="157" t="str">
        <v>Modena INOX LIJA - maksymalna zalecana długość profilu 2500 mm</v>
      </c>
    </row>
    <row r="63" spans="1:46" s="157" customFormat="1" ht="14.85" hidden="1" customHeight="1">
      <c r="A63" s="140"/>
      <c r="B63" s="157" t="str">
        <v>Modena brąz - maksymalna zalecana długość profilu 2500 mm</v>
      </c>
    </row>
    <row r="64" spans="1:46" s="157" customFormat="1" ht="14.85" hidden="1" customHeight="1">
      <c r="A64" s="140"/>
      <c r="B64" s="157" t="str">
        <v>Pisa (elox.) - maksymalna zalecana długość profilu 2500 mm</v>
      </c>
    </row>
    <row r="65" spans="1:15" s="157" customFormat="1" ht="14.85" hidden="1" customHeight="1">
      <c r="A65" s="140"/>
      <c r="B65" s="157" t="str">
        <v>Pisa biały matowy RAL 9003 - maksymalna zalecana zalecana długość profilu 2500 mm</v>
      </c>
      <c r="H65" s="33" t="str">
        <f>'rozpad závěsů bez prázdn. řádků'!$K$1</f>
        <v>krzyżakowy, wkręt</v>
      </c>
      <c r="I65" s="159">
        <v>6</v>
      </c>
      <c r="J65" s="32" t="e">
        <f>VLOOKUP($H$15,'rozpad závěsů bez prázdn. řádků'!$G$2:$X$66,I65,0)</f>
        <v>#N/A</v>
      </c>
      <c r="O65" s="157" t="str" cm="1">
        <f t="array" ref="O65:O66">IF($H$15=kombinace_2!$AB$40,_strong_vzpera_horni,IF($H$15=kombinace_2!$AB$41,_stronglift_klopna,IF($H$12='závěsy dle výklopu'!$BQ$2,$J$65:$J$71,'Translate&amp;Prices&amp;Logo'!$B$187:$B$188)))</f>
        <v>Górne drzwi</v>
      </c>
    </row>
    <row r="66" spans="1:15" s="157" customFormat="1" ht="14.85" hidden="1" customHeight="1">
      <c r="A66" s="140"/>
      <c r="B66" s="157" t="str">
        <v>Pisa biały połysk RAL 9003 - maksymalna zalecana zalecana długość profilu 2500 mm</v>
      </c>
      <c r="H66" s="33" t="str">
        <f>'rozpad závěsů bez prázdn. řádků'!$M$1</f>
        <v>na wkręt (z mimośrodem)</v>
      </c>
      <c r="I66" s="159">
        <v>8</v>
      </c>
      <c r="J66" s="32" t="e">
        <f>VLOOKUP($H$15,'rozpad závěsů bez prázdn. řádků'!$G$2:$X$66,I66,0)</f>
        <v>#N/A</v>
      </c>
      <c r="O66" s="157" t="str">
        <v>Dolne drzwi</v>
      </c>
    </row>
    <row r="67" spans="1:15" s="157" customFormat="1" ht="14.85" hidden="1" customHeight="1">
      <c r="A67" s="140"/>
      <c r="B67" s="157" t="str">
        <v>Pisa Czarny matowy - maksymalna zalecana długość profilu 2500 mm</v>
      </c>
      <c r="H67" s="33" t="str">
        <f>'rozpad závěsů bez prázdn. řádků'!$O$1</f>
        <v>krzyżakowy eurowkręt</v>
      </c>
      <c r="I67" s="159">
        <v>10</v>
      </c>
      <c r="J67" s="32" t="e">
        <f>VLOOKUP($H$15,'rozpad závěsů bez prázdn. řádků'!$G$2:$X$66,I67,0)</f>
        <v>#N/A</v>
      </c>
    </row>
    <row r="68" spans="1:15" s="157" customFormat="1" ht="14.85" hidden="1" customHeight="1">
      <c r="A68" s="140"/>
      <c r="B68" s="157" t="str">
        <v>Pisa złota - maksymalna zalecana długość profilu 2150 mm</v>
      </c>
      <c r="H68" s="33" t="str">
        <f>'rozpad závěsů bez prázdn. řádků'!$Q$1</f>
        <v>krzyżakowy expando</v>
      </c>
      <c r="I68" s="159">
        <v>12</v>
      </c>
      <c r="J68" s="32" t="e">
        <f>VLOOKUP($H$15,'rozpad závěsů bez prázdn. řádků'!$G$2:$X$66,I68,0)</f>
        <v>#N/A</v>
      </c>
    </row>
    <row r="69" spans="1:15" s="157" customFormat="1" ht="14.85" hidden="1" customHeight="1">
      <c r="A69" s="140"/>
      <c r="B69" s="157" t="str">
        <v>Rimini elox naturalna - maksymalna długość profilu 1100 mm</v>
      </c>
      <c r="H69" s="33" t="str">
        <f>'rozpad závěsů bez prázdn. řádků'!$S$1</f>
        <v>prosty wkręt</v>
      </c>
      <c r="I69" s="159">
        <v>14</v>
      </c>
      <c r="J69" s="32" t="e">
        <f>VLOOKUP($H$15,'rozpad závěsů bez prázdn. řádků'!$G$2:$X$66,I69,0)</f>
        <v>#N/A</v>
      </c>
    </row>
    <row r="70" spans="1:15" s="157" customFormat="1" ht="14.85" hidden="1" customHeight="1">
      <c r="A70" s="140"/>
      <c r="B70" s="157" t="str">
        <v>Rimini czarny mat - maksymalna długość profilu 1100 mm</v>
      </c>
      <c r="H70" s="33" t="str">
        <f>'rozpad závěsů bez prázdn. řádků'!$U$1</f>
        <v>prosty eurowkręt</v>
      </c>
      <c r="I70" s="159">
        <v>16</v>
      </c>
      <c r="J70" s="32" t="e">
        <f>VLOOKUP($H$15,'rozpad závěsů bez prázdn. řádků'!$G$2:$X$66,I70,0)</f>
        <v>#N/A</v>
      </c>
    </row>
    <row r="71" spans="1:15" s="157" customFormat="1" ht="14.85" hidden="1" customHeight="1">
      <c r="A71" s="140"/>
      <c r="B71" s="157" t="str">
        <v>Rimini champagne - maksymalna długość profilu 1100 mm</v>
      </c>
      <c r="H71" s="33" t="str">
        <f>'rozpad závěsů bez prázdn. řádků'!$W$1</f>
        <v>prosty expando</v>
      </c>
      <c r="I71" s="159">
        <v>18</v>
      </c>
      <c r="J71" s="32" t="e">
        <f>VLOOKUP($H$15,'rozpad závěsů bez prázdn. řádků'!$G$2:$X$66,I71,0)</f>
        <v>#N/A</v>
      </c>
    </row>
    <row r="72" spans="1:15" s="157" customFormat="1" ht="14.85" hidden="1" customHeight="1">
      <c r="A72" s="140"/>
      <c r="B72" s="157" t="str">
        <v>Rimini zlota - maksymalna długość profilu 1100 mm</v>
      </c>
    </row>
    <row r="73" spans="1:15" s="157" customFormat="1" ht="14.85" hidden="1" customHeight="1">
      <c r="A73" s="140"/>
      <c r="B73" s="157" t="str">
        <v>Rimini zlota szczotkowana - maksymalna długość profilu 1100 mm</v>
      </c>
    </row>
    <row r="74" spans="1:15" s="157" customFormat="1" ht="14.85" hidden="1" customHeight="1">
      <c r="A74" s="140"/>
      <c r="B74" s="157" t="str">
        <v>Rocca (elox.) - maksymalna zalecana zalecana długość profilu 2150 mm</v>
      </c>
    </row>
    <row r="75" spans="1:15" s="157" customFormat="1" ht="14.85" hidden="1" customHeight="1">
      <c r="A75" s="140"/>
      <c r="B75" s="157" t="str">
        <v>Rocca czarny matowy - maksymalna zalecana zalecana długość profilu 2150 mm</v>
      </c>
    </row>
    <row r="76" spans="1:15" s="157" customFormat="1" ht="14.85" hidden="1" customHeight="1">
      <c r="A76" s="140"/>
      <c r="B76" s="157" t="str">
        <v>Treviso czarny matowy - maksymalna zalecana długość profilu 2750 mm</v>
      </c>
    </row>
    <row r="77" spans="1:15" s="157" customFormat="1" ht="14.85" hidden="1" customHeight="1">
      <c r="A77" s="140"/>
      <c r="B77" s="157" t="str">
        <v>Verona (elox.) - maksymalna zalecana zalecana długość profilu 2500 mm</v>
      </c>
    </row>
    <row r="78" spans="1:15" s="157" customFormat="1" ht="14.85" hidden="1" customHeight="1">
      <c r="A78" s="140"/>
      <c r="B78" s="157" t="str">
        <v>Verona szczotkowany - maksymalna zalecana zalecana długość profilu 2500 mm</v>
      </c>
    </row>
    <row r="79" spans="1:15" s="157" customFormat="1" ht="14.85" hidden="1" customHeight="1">
      <c r="A79" s="140"/>
      <c r="B79" s="157" t="str">
        <v>Verona czarny matowy - maksymalna zalecana zalecana długość profilu 2500 mm</v>
      </c>
    </row>
    <row r="80" spans="1:15" s="157" customFormat="1" ht="14.85" hidden="1" customHeight="1">
      <c r="A80" s="140"/>
      <c r="B80" s="157" t="str">
        <v>Verona czarny połysk - maksymalna zalecana zalecana długość profilu 2500 mm</v>
      </c>
    </row>
    <row r="81" spans="1:38" s="157" customFormat="1" ht="14.85" hidden="1" customHeight="1">
      <c r="A81" s="140"/>
      <c r="B81" s="157" t="str">
        <v>Verona braz - maksymalna zalecana zalecana długość profilu 2500 mm</v>
      </c>
    </row>
    <row r="82" spans="1:38" s="157" customFormat="1" ht="14.85" hidden="1" customHeight="1">
      <c r="A82" s="140"/>
      <c r="B82" s="157" t="str">
        <v>Verona szampański - maksymalna zalecana zalecana długość profilu 2500 mm</v>
      </c>
      <c r="P82" s="157" t="str" cm="1">
        <f t="array" ref="P82:P85">IF(OR(H8=kombinace_2!F18,H8=kombinace_2!F19,H8=kombinace_2!A65,H8=kombinace_2!A66,H8=kombinace_2!A67,H8=kombinace_2!A68),_2_strany,IF(H15=kombinace_2!AB8,_ramena_HL,_4_strany))</f>
        <v>W górę</v>
      </c>
    </row>
    <row r="83" spans="1:38" ht="14.85" hidden="1" customHeight="1">
      <c r="B83" s="138" t="str">
        <v>Verona Inox szczotkowany (Inox Lija)- maksymalna zalecana zalecana długość profilu 2500 mm</v>
      </c>
      <c r="C83" s="140"/>
      <c r="D83" s="140"/>
      <c r="E83" s="140"/>
      <c r="F83" s="140"/>
      <c r="G83" s="140"/>
      <c r="H83" s="140"/>
      <c r="I83" s="140"/>
      <c r="J83" s="140"/>
      <c r="K83" s="140"/>
      <c r="L83" s="140"/>
      <c r="M83" s="140"/>
      <c r="N83" s="140"/>
      <c r="O83" s="138"/>
      <c r="P83" s="140" t="str">
        <v>W dół</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Acier Gratta - maksymalna zalecana zalecana długość profilu 2500 mm</v>
      </c>
      <c r="C84" s="140"/>
      <c r="D84" s="140"/>
      <c r="E84" s="140"/>
      <c r="F84" s="140"/>
      <c r="G84" s="140"/>
      <c r="H84" s="140"/>
      <c r="I84" s="140"/>
      <c r="J84" s="140"/>
      <c r="K84" s="140"/>
      <c r="L84" s="140"/>
      <c r="M84" s="140"/>
      <c r="N84" s="140"/>
      <c r="O84" s="138"/>
      <c r="P84" s="140" t="str">
        <v>W prawo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maksymalna zalecana zalecana długość profilu 2150 mm</v>
      </c>
      <c r="C85" s="140"/>
      <c r="D85" s="140"/>
      <c r="E85" s="140"/>
      <c r="F85" s="140"/>
      <c r="G85" s="140"/>
      <c r="H85" s="140"/>
      <c r="I85" s="140"/>
      <c r="J85" s="140"/>
      <c r="K85" s="140"/>
      <c r="L85" s="140"/>
      <c r="M85" s="140"/>
      <c r="N85" s="140"/>
      <c r="O85" s="140"/>
      <c r="P85" s="140" t="str">
        <v>W lewo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kaszmirowy - maksymalna zalecana długość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złota - maksymalna zalecana długość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złota szczotkowany - maksymalna zalecana zalecana długość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maksymalna zalecana zalecana długość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czarny matowy - maksymalna zalecana zalecana długość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LIJA - maksymalna zalecana zalecana długość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biały matowy RAL 9003 - maksymalna zalecana zalecana długość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biały połysk RAL 9003 - maksymalna zalecana zalecana długość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złota - maksymalna zalecana zalecana długość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złota szczotkowany - maksymalna zalecana zalecana długość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(lewa i prawa) + Varna elox (góra i dół)</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czarny (lewa i prawa) + Varna czarny (góra i dół)</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czarna matowa -  maksymalna zalecana długość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maksymalna zalecana długość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czarna matowa - maksymalna zalecana długość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maksymalna zalecana długość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SZAyZRH9iP3HCl+6iPcUmkcuxH92YN4a+UuEDakb/FLw02aVTe6KF3BdPl2q/4cv0Dce0V3RplM13AD1uoc2Lg==" saltValue="KAHBT1mfIuAK2YJuOejSWQ==" spinCount="100000" sheet="1" objects="1" scenarios="1"/>
  <protectedRanges>
    <protectedRange sqref="G7 I7:R7" name="Oblast1"/>
  </protectedRanges>
  <mergeCells count="99">
    <mergeCell ref="B32:Q32"/>
    <mergeCell ref="B13:F13"/>
    <mergeCell ref="N16:Q16"/>
    <mergeCell ref="B33:K34"/>
    <mergeCell ref="L33:Q34"/>
    <mergeCell ref="P29:Q29"/>
    <mergeCell ref="H26:Q26"/>
    <mergeCell ref="B24:F24"/>
    <mergeCell ref="H24:Q24"/>
    <mergeCell ref="B28:F28"/>
    <mergeCell ref="H28:Q28"/>
    <mergeCell ref="B30:J31"/>
    <mergeCell ref="K30:K31"/>
    <mergeCell ref="L30:O31"/>
    <mergeCell ref="P30:Q31"/>
    <mergeCell ref="D29:O29"/>
    <mergeCell ref="B12:F12"/>
    <mergeCell ref="B25:F25"/>
    <mergeCell ref="H25:Q25"/>
    <mergeCell ref="B7:F7"/>
    <mergeCell ref="B9:F9"/>
    <mergeCell ref="H9:Q9"/>
    <mergeCell ref="H10:L10"/>
    <mergeCell ref="H12:Q12"/>
    <mergeCell ref="H8:Q8"/>
    <mergeCell ref="G7:Q7"/>
    <mergeCell ref="H11:L11"/>
    <mergeCell ref="M10:Q10"/>
    <mergeCell ref="B11:F11"/>
    <mergeCell ref="AC24:AG24"/>
    <mergeCell ref="B15:F15"/>
    <mergeCell ref="H15:Q15"/>
    <mergeCell ref="B16:E16"/>
    <mergeCell ref="F16:I16"/>
    <mergeCell ref="J16:M16"/>
    <mergeCell ref="B17:F17"/>
    <mergeCell ref="B18:F18"/>
    <mergeCell ref="J20:M20"/>
    <mergeCell ref="S13:Y17"/>
    <mergeCell ref="H19:Q19"/>
    <mergeCell ref="N20:Q20"/>
    <mergeCell ref="H18:Q18"/>
    <mergeCell ref="H23:Q23"/>
    <mergeCell ref="H13:Q13"/>
    <mergeCell ref="AM14:AM21"/>
    <mergeCell ref="AN19:AO19"/>
    <mergeCell ref="H17:Q17"/>
    <mergeCell ref="B21:F21"/>
    <mergeCell ref="B20:E20"/>
    <mergeCell ref="F20:I20"/>
    <mergeCell ref="H21:Q21"/>
    <mergeCell ref="H14:Q14"/>
    <mergeCell ref="B19:F19"/>
    <mergeCell ref="B14:F14"/>
    <mergeCell ref="BI3:BM3"/>
    <mergeCell ref="B5:D5"/>
    <mergeCell ref="F5:H5"/>
    <mergeCell ref="J5:L5"/>
    <mergeCell ref="N5:P5"/>
    <mergeCell ref="R5:T5"/>
    <mergeCell ref="AB4:AN5"/>
    <mergeCell ref="V5:X5"/>
    <mergeCell ref="A2:AJ3"/>
    <mergeCell ref="AP2:AS3"/>
    <mergeCell ref="BD3:BH3"/>
    <mergeCell ref="AC8:AG8"/>
    <mergeCell ref="S10:Y12"/>
    <mergeCell ref="M11:Q11"/>
    <mergeCell ref="S8:Y9"/>
    <mergeCell ref="AF9:AK9"/>
    <mergeCell ref="AD10:AD12"/>
    <mergeCell ref="AE10:AE16"/>
    <mergeCell ref="AD14:AD21"/>
    <mergeCell ref="AB19:AC19"/>
    <mergeCell ref="S18:Y23"/>
    <mergeCell ref="AJ7:AJ8"/>
    <mergeCell ref="S7:U7"/>
    <mergeCell ref="AC9:AD9"/>
    <mergeCell ref="AP47:AQ47"/>
    <mergeCell ref="R33:S33"/>
    <mergeCell ref="R34:S34"/>
    <mergeCell ref="V34:W34"/>
    <mergeCell ref="AN47:AO47"/>
    <mergeCell ref="AI30:AK30"/>
    <mergeCell ref="AO31:AR32"/>
    <mergeCell ref="AR14:AR18"/>
    <mergeCell ref="AR19:AR23"/>
    <mergeCell ref="B27:F27"/>
    <mergeCell ref="H27:Q27"/>
    <mergeCell ref="S25:Y31"/>
    <mergeCell ref="AF30:AH30"/>
    <mergeCell ref="AB29:AO29"/>
    <mergeCell ref="AM23:AM25"/>
    <mergeCell ref="AL19:AL25"/>
    <mergeCell ref="AC25:AD25"/>
    <mergeCell ref="AJ26:AJ27"/>
    <mergeCell ref="AF25:AK25"/>
    <mergeCell ref="S24:U24"/>
    <mergeCell ref="B26:F26"/>
  </mergeCells>
  <conditionalFormatting sqref="B5 F5 J5 N5 R5 V5">
    <cfRule type="cellIs" dxfId="397" priority="24" operator="equal">
      <formula>$A$2</formula>
    </cfRule>
  </conditionalFormatting>
  <conditionalFormatting sqref="B16:I16">
    <cfRule type="expression" dxfId="396" priority="45">
      <formula>$AU$19=0</formula>
    </cfRule>
  </conditionalFormatting>
  <conditionalFormatting sqref="B9:Q9">
    <cfRule type="expression" dxfId="395" priority="30">
      <formula>$B$9=0</formula>
    </cfRule>
  </conditionalFormatting>
  <conditionalFormatting sqref="B11:Q11">
    <cfRule type="expression" dxfId="394" priority="44">
      <formula>$AU$10=0</formula>
    </cfRule>
  </conditionalFormatting>
  <conditionalFormatting sqref="B14:Q14">
    <cfRule type="expression" dxfId="393" priority="29">
      <formula>$B$14=0</formula>
    </cfRule>
  </conditionalFormatting>
  <conditionalFormatting sqref="B17:Q17">
    <cfRule type="expression" dxfId="392" priority="28">
      <formula>$B$17=0</formula>
    </cfRule>
  </conditionalFormatting>
  <conditionalFormatting sqref="B18:Q18">
    <cfRule type="expression" dxfId="391" priority="14" stopIfTrue="1">
      <formula>$B$18=0</formula>
    </cfRule>
    <cfRule type="expression" dxfId="390" priority="17">
      <formula>$F$16=$H$61</formula>
    </cfRule>
  </conditionalFormatting>
  <conditionalFormatting sqref="B19:Q19">
    <cfRule type="expression" dxfId="389" priority="27">
      <formula>$B$19=0</formula>
    </cfRule>
  </conditionalFormatting>
  <conditionalFormatting sqref="B20:Q20">
    <cfRule type="expression" dxfId="388" priority="26">
      <formula>$B$19=0</formula>
    </cfRule>
    <cfRule type="expression" dxfId="387" priority="25">
      <formula>$B$20=0</formula>
    </cfRule>
  </conditionalFormatting>
  <conditionalFormatting sqref="B21:Q21">
    <cfRule type="expression" dxfId="386" priority="6">
      <formula>$B$21=" "</formula>
    </cfRule>
  </conditionalFormatting>
  <conditionalFormatting sqref="B24:Q24">
    <cfRule type="expression" dxfId="385" priority="19" stopIfTrue="1">
      <formula>$T$59&lt;3</formula>
    </cfRule>
  </conditionalFormatting>
  <conditionalFormatting sqref="H23">
    <cfRule type="expression" dxfId="384" priority="31">
      <formula>$H$25&gt;0</formula>
    </cfRule>
  </conditionalFormatting>
  <conditionalFormatting sqref="H10:L11">
    <cfRule type="expression" dxfId="383" priority="23">
      <formula>$AU$10=2</formula>
    </cfRule>
  </conditionalFormatting>
  <conditionalFormatting sqref="H10:Q10">
    <cfRule type="expression" dxfId="382" priority="22">
      <formula>$AU$10=0</formula>
    </cfRule>
  </conditionalFormatting>
  <conditionalFormatting sqref="H22:Q22 B22:G23">
    <cfRule type="expression" dxfId="381" priority="20">
      <formula>$AS$33=1</formula>
    </cfRule>
  </conditionalFormatting>
  <conditionalFormatting sqref="J16:M16">
    <cfRule type="expression" dxfId="380" priority="16" stopIfTrue="1">
      <formula>$K$60=TRUE</formula>
    </cfRule>
  </conditionalFormatting>
  <conditionalFormatting sqref="J16:N16">
    <cfRule type="expression" dxfId="379" priority="18" stopIfTrue="1">
      <formula>$AV$19=0</formula>
    </cfRule>
  </conditionalFormatting>
  <conditionalFormatting sqref="M10:Q11">
    <cfRule type="expression" dxfId="378" priority="21">
      <formula>$AU$10=1</formula>
    </cfRule>
  </conditionalFormatting>
  <conditionalFormatting sqref="N16:Q16">
    <cfRule type="expression" dxfId="377" priority="15" stopIfTrue="1">
      <formula>$K$60=TRUE</formula>
    </cfRule>
  </conditionalFormatting>
  <conditionalFormatting sqref="P29:Q29">
    <cfRule type="expression" dxfId="376" priority="1">
      <formula>$U$41=2</formula>
    </cfRule>
  </conditionalFormatting>
  <conditionalFormatting sqref="AA9:AA10 AA24:AA25">
    <cfRule type="expression" dxfId="375" priority="10" stopIfTrue="1">
      <formula>$AU$17=1</formula>
    </cfRule>
  </conditionalFormatting>
  <conditionalFormatting sqref="AA16:AA17">
    <cfRule type="expression" dxfId="374" priority="5" stopIfTrue="1">
      <formula>$AU$24="1_3"</formula>
    </cfRule>
  </conditionalFormatting>
  <conditionalFormatting sqref="AB6 AA6:AA7 AA27 AA28:AB28">
    <cfRule type="expression" dxfId="373" priority="4" stopIfTrue="1">
      <formula>$AV$17=1</formula>
    </cfRule>
  </conditionalFormatting>
  <conditionalFormatting sqref="AB29:AO29">
    <cfRule type="cellIs" dxfId="372" priority="2" operator="equal">
      <formula>0</formula>
    </cfRule>
  </conditionalFormatting>
  <conditionalFormatting sqref="AC6:AD6 AM6:AN6">
    <cfRule type="expression" dxfId="371" priority="12" stopIfTrue="1">
      <formula>$AU$17=3</formula>
    </cfRule>
  </conditionalFormatting>
  <conditionalFormatting sqref="AC25:AD25 AJ26:AJ27">
    <cfRule type="expression" dxfId="370" priority="39">
      <formula>$AU$25=4</formula>
    </cfRule>
  </conditionalFormatting>
  <conditionalFormatting sqref="AC28:AD28 AM28:AN28">
    <cfRule type="expression" dxfId="369" priority="11" stopIfTrue="1">
      <formula>$AU$17=4</formula>
    </cfRule>
  </conditionalFormatting>
  <conditionalFormatting sqref="AC8:AG8">
    <cfRule type="expression" dxfId="368" priority="43">
      <formula>$AU$25=3</formula>
    </cfRule>
  </conditionalFormatting>
  <conditionalFormatting sqref="AC24:AG24">
    <cfRule type="expression" dxfId="367" priority="40">
      <formula>$AU$25=4</formula>
    </cfRule>
  </conditionalFormatting>
  <conditionalFormatting sqref="AD10:AD12 AB19:AC19">
    <cfRule type="expression" dxfId="366" priority="33">
      <formula>$AU$25=1</formula>
    </cfRule>
  </conditionalFormatting>
  <conditionalFormatting sqref="AD14:AD21">
    <cfRule type="expression" dxfId="365" priority="32">
      <formula>$AU$25=1</formula>
    </cfRule>
  </conditionalFormatting>
  <conditionalFormatting sqref="AE10:AE16">
    <cfRule type="expression" dxfId="364" priority="41">
      <formula>$AU$25=1</formula>
    </cfRule>
  </conditionalFormatting>
  <conditionalFormatting sqref="AF9:AK9">
    <cfRule type="expression" dxfId="363" priority="36">
      <formula>$AU$25=3</formula>
    </cfRule>
  </conditionalFormatting>
  <conditionalFormatting sqref="AF25:AK25">
    <cfRule type="expression" dxfId="362" priority="38">
      <formula>$AU$25=4</formula>
    </cfRule>
  </conditionalFormatting>
  <conditionalFormatting sqref="AG6:AH6">
    <cfRule type="expression" dxfId="361" priority="8" stopIfTrue="1">
      <formula>$AU$24="3_3"</formula>
    </cfRule>
  </conditionalFormatting>
  <conditionalFormatting sqref="AG28:AH28">
    <cfRule type="expression" dxfId="360" priority="7" stopIfTrue="1">
      <formula>$AU$24="4_3"</formula>
    </cfRule>
  </conditionalFormatting>
  <conditionalFormatting sqref="AJ7:AJ8 AC9:AD9">
    <cfRule type="expression" dxfId="359" priority="37">
      <formula>$AU$25=3</formula>
    </cfRule>
  </conditionalFormatting>
  <conditionalFormatting sqref="AL19:AL25">
    <cfRule type="expression" dxfId="358" priority="42">
      <formula>$AU$25=2</formula>
    </cfRule>
  </conditionalFormatting>
  <conditionalFormatting sqref="AM14:AM21">
    <cfRule type="expression" dxfId="357" priority="34">
      <formula>$AU$25=2</formula>
    </cfRule>
  </conditionalFormatting>
  <conditionalFormatting sqref="AN19:AO19 AM23:AM25">
    <cfRule type="expression" dxfId="356" priority="35">
      <formula>$AU$25=2</formula>
    </cfRule>
  </conditionalFormatting>
  <conditionalFormatting sqref="AO6 AP6:AP7 AP27 AO28:AP28">
    <cfRule type="expression" dxfId="355" priority="3" stopIfTrue="1">
      <formula>$AV$17=2</formula>
    </cfRule>
  </conditionalFormatting>
  <conditionalFormatting sqref="AP9:AP10 AP24:AP25">
    <cfRule type="expression" dxfId="354" priority="9" stopIfTrue="1">
      <formula>$AU$17=2</formula>
    </cfRule>
  </conditionalFormatting>
  <conditionalFormatting sqref="AP16:AP17">
    <cfRule type="expression" dxfId="353" priority="13" stopIfTrue="1">
      <formula>$AU$24="2_3"</formula>
    </cfRule>
  </conditionalFormatting>
  <dataValidations count="20">
    <dataValidation type="whole" allowBlank="1" showInputMessage="1" showErrorMessage="1" sqref="H11:L11" xr:uid="{60B0D3D8-6744-43A3-9D4D-0BDFE73E3D14}">
      <formula1>1</formula1>
      <formula2>(AR14/100)-1</formula2>
    </dataValidation>
    <dataValidation type="whole" allowBlank="1" showInputMessage="1" showErrorMessage="1" sqref="M11:Q11" xr:uid="{532D3F70-4E4D-4E63-A0D4-7BDF455E2CC0}">
      <formula1>1</formula1>
      <formula2>(AI30/100)-1</formula2>
    </dataValidation>
    <dataValidation type="whole" allowBlank="1" showInputMessage="1" showErrorMessage="1" errorTitle="Minimum 80 mm" sqref="F20:I20 N20:Q20" xr:uid="{58BCEACC-AB61-402B-9DFC-60D915EBD616}">
      <formula1>80</formula1>
      <formula2>1300</formula2>
    </dataValidation>
    <dataValidation type="whole" operator="greaterThanOrEqual" allowBlank="1" showInputMessage="1" showErrorMessage="1" sqref="H26:Q26" xr:uid="{89D56ED9-B82A-4D0A-9B42-756629E7B1EF}">
      <formula1>1</formula1>
    </dataValidation>
    <dataValidation type="list" allowBlank="1" showInputMessage="1" showErrorMessage="1" sqref="H12:Q12" xr:uid="{DDDE247F-598B-445A-91BB-2E09C0696F42}">
      <formula1>$L$36:$M$36</formula1>
    </dataValidation>
    <dataValidation type="list" allowBlank="1" showInputMessage="1" showErrorMessage="1" sqref="H24:Q24" xr:uid="{11655D65-68BB-4894-8A88-824FADD1319C}">
      <formula1>$X$54:$X$56</formula1>
    </dataValidation>
    <dataValidation type="list" allowBlank="1" showInputMessage="1" showErrorMessage="1" sqref="H21:Q21" xr:uid="{1DF0812B-D21B-49AF-A621-DD1BCECDA359}">
      <formula1>$T$54:$T$56</formula1>
    </dataValidation>
    <dataValidation type="list" allowBlank="1" showInputMessage="1" showErrorMessage="1" sqref="H14:Q14" xr:uid="{A17270A5-4A88-445B-A1C3-AD3DE137C063}">
      <formula1>$P$36:$P$38</formula1>
    </dataValidation>
    <dataValidation type="list" allowBlank="1" showInputMessage="1" showErrorMessage="1" sqref="H19:Q19" xr:uid="{F8C9091A-1FB2-4E94-958E-B8ECD5318D8A}">
      <formula1>IF(H13="Salice",$AJ$36,($AJ$36:$AJ$40))</formula1>
    </dataValidation>
    <dataValidation type="list" allowBlank="1" showInputMessage="1" showErrorMessage="1" sqref="H18:Q18" xr:uid="{F9275732-CDDB-458A-9A57-39E8BC548127}">
      <formula1>$AF$36:$AF$41</formula1>
    </dataValidation>
    <dataValidation type="list" allowBlank="1" showInputMessage="1" showErrorMessage="1" sqref="N16:Q16" xr:uid="{3AB336CB-7A92-4C00-8957-3357C60F6DE8}">
      <formula1>$K$54:$K$58</formula1>
    </dataValidation>
    <dataValidation type="list" allowBlank="1" showInputMessage="1" showErrorMessage="1" sqref="H13:Q13" xr:uid="{BBCC4ECF-FD69-4F2E-89E2-8519D10A8E8A}">
      <formula1>IF(M38="Salice",$L$38,$L$38:$L$42)</formula1>
    </dataValidation>
    <dataValidation type="list" allowBlank="1" showInputMessage="1" showErrorMessage="1" sqref="H15:Q15" xr:uid="{8811177B-A5E6-4E13-8E00-0C7C6640AEB7}">
      <formula1>$T$36:$T$44</formula1>
    </dataValidation>
    <dataValidation type="list" allowBlank="1" showInputMessage="1" showErrorMessage="1" sqref="F16:I16" xr:uid="{8AA382D6-41BD-456D-A8E5-8DD4A0FCE1AA}">
      <formula1>$O$65:$O$84</formula1>
    </dataValidation>
    <dataValidation type="whole" operator="lessThan" showInputMessage="1" showErrorMessage="1" sqref="AI30:AK30" xr:uid="{D885F7B3-9AE3-44BB-B6D0-0B418615FD84}">
      <formula1>IF(AR14&lt;AI43+1,AJ43+1,AI43+1)</formula1>
    </dataValidation>
    <dataValidation type="whole" operator="lessThan" showErrorMessage="1" sqref="AR14:AR18" xr:uid="{9A55E31D-6435-468E-9479-0B70ED732146}">
      <formula1>IF(AI30&lt;AI43+1,AJ43+1,AI43+1)</formula1>
    </dataValidation>
    <dataValidation type="list" allowBlank="1" showInputMessage="1" showErrorMessage="1" sqref="P29:Q29" xr:uid="{ED846B77-A6C4-4F68-A209-A16EC9A05B16}">
      <formula1>$W$37:$W$38</formula1>
    </dataValidation>
    <dataValidation type="list" allowBlank="1" showInputMessage="1" showErrorMessage="1" sqref="H25:Q25" xr:uid="{BE58CD78-833F-4CDB-87ED-21C5628A68EE}">
      <formula1>$AD$54:$AD$97</formula1>
    </dataValidation>
    <dataValidation type="list" allowBlank="1" showInputMessage="1" showErrorMessage="1" sqref="H17:Q17" xr:uid="{FAC78649-117C-439B-B317-1C9F0C087BED}">
      <formula1>$P$82:$P$90</formula1>
    </dataValidation>
    <dataValidation type="list" allowBlank="1" showInputMessage="1" showErrorMessage="1" sqref="H8:Q8" xr:uid="{76AA8506-6274-4C78-B72D-E9E8AAF921B9}">
      <formula1>B36:B101</formula1>
    </dataValidation>
  </dataValidations>
  <hyperlinks>
    <hyperlink ref="AP2:AS3" location="Hlavní!A1" display="Hlavní!A1" xr:uid="{D6D1F15F-559D-4453-AA27-FFD86705035E}"/>
    <hyperlink ref="F5:H5" location="Ram_2!A1" display="Ram_2!A1" xr:uid="{BBEB6764-78C2-4C31-BD79-8D08D83E6A3F}"/>
    <hyperlink ref="N5:P5" location="Ram_4!A1" display="Ram_4!A1" xr:uid="{B3854D8E-DF6E-4D87-9BCB-B1B7F5C79813}"/>
    <hyperlink ref="R5:T5" location="Ram_5!A1" display="Ram_5!A1" xr:uid="{66A39C12-6D61-4E15-8876-5DCAE3BC27AA}"/>
    <hyperlink ref="V5:X5" location="Ram_6!A1" display="Ram_6!A1" xr:uid="{5CE54BA8-FDD6-407B-9692-C7B674651678}"/>
    <hyperlink ref="B5:D5" location="Ram_1!A1" display="Ram_1!A1" xr:uid="{62BC66DE-4324-4E65-8D14-C4B7DC05911F}"/>
    <hyperlink ref="AO31:AR32" location="_souhrn!A1" display="_souhrn!A1" xr:uid="{AC6C48BB-3312-42AE-95FC-032D1DD91736}"/>
    <hyperlink ref="J5:L5" location="Ram_3!A1" display="Ram_3!A1" xr:uid="{528AB121-D9EC-456F-A340-5CA97A9D0975}"/>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9763" r:id="rId4" name="Check Box 3843">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1109764" r:id="rId5" name="Check Box 3844">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2A2C485C-34A7-477C-8942-13BA1BD3514F}">
          <x14:formula1>
            <xm:f>'závěsy dle výklopu'!$BW$2:$BW$5</xm:f>
          </x14:formula1>
          <xm:sqref>H27:Q27</xm:sqref>
        </x14:dataValidation>
        <x14:dataValidation type="list" allowBlank="1" showInputMessage="1" showErrorMessage="1" xr:uid="{2EC2667A-A6A8-4843-8EED-02A2E8C65D6B}">
          <x14:formula1>
            <xm:f>kombinace_1!$BY$13:$BY$15</xm:f>
          </x14:formula1>
          <xm:sqref>H9:Q9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04EF-4502-4534-816F-F0439911B595}">
  <sheetPr codeName="List9"/>
  <dimension ref="A1:FC758"/>
  <sheetViews>
    <sheetView topLeftCell="A34"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VLOOKUP(Ram_2!H8,kombinace_2!$A$3:$C$75,3,0)</f>
        <v>#N/A</v>
      </c>
      <c r="S1" t="e">
        <f>CONCATENATE("_",R1,V1)</f>
        <v>#N/A</v>
      </c>
      <c r="U1" s="173" t="s">
        <v>996</v>
      </c>
      <c r="V1" s="2">
        <f>IFERROR(VLOOKUP(Ram_2!H21,$EN$3:$EO$5,2,0),1)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CONCATENATE("_",Ram_2!H12,"_",Ram_2!H13)</f>
        <v>__</v>
      </c>
      <c r="BV2" t="s">
        <v>1013</v>
      </c>
      <c r="BW2" t="s">
        <v>1009</v>
      </c>
      <c r="BY2" t="s">
        <v>110</v>
      </c>
      <c r="CA2" t="s">
        <v>1032</v>
      </c>
      <c r="CD2" t="s">
        <v>1106</v>
      </c>
      <c r="CF2" t="s">
        <v>1328</v>
      </c>
      <c r="DN2" t="str">
        <f>'Translate&amp;Prices&amp;Logo'!B555</f>
        <v>Nakładany</v>
      </c>
      <c r="DP2" t="str">
        <f>'Translate&amp;Prices&amp;Logo'!$B$553</f>
        <v>Zawiasy</v>
      </c>
      <c r="DQ2">
        <v>2</v>
      </c>
      <c r="ED2" t="s">
        <v>1649</v>
      </c>
      <c r="EE2" t="s">
        <v>3183</v>
      </c>
      <c r="ER2" t="s">
        <v>2153</v>
      </c>
      <c r="ES2" t="s">
        <v>2158</v>
      </c>
      <c r="EV2">
        <v>2</v>
      </c>
      <c r="EW2" t="s">
        <v>2175</v>
      </c>
      <c r="EY2" s="206" t="str">
        <f>'Translate&amp;Prices&amp;Logo'!B166</f>
        <v>siatka alu złota - oko 10x6x1 mm</v>
      </c>
      <c r="FA2" s="34" t="str">
        <f>'Translate&amp;Prices&amp;Logo'!B646</f>
        <v>520405 SALICE AIR SOFT zawiasy niklowe o kącie otwarcia 92° kpl. 2 szt</v>
      </c>
      <c r="FC2" t="b">
        <v>0</v>
      </c>
    </row>
    <row r="3" spans="1:159">
      <c r="A3" t="str">
        <f>'Translate&amp;Prices&amp;Logo'!$B$6</f>
        <v>BRW (elox.) - maksymalna zalecana długość profilu 2500 mm</v>
      </c>
      <c r="B3">
        <v>1</v>
      </c>
      <c r="C3" t="s">
        <v>651</v>
      </c>
      <c r="D3">
        <v>1</v>
      </c>
      <c r="F3" t="s">
        <v>950</v>
      </c>
      <c r="G3" t="s">
        <v>382</v>
      </c>
      <c r="H3" t="s">
        <v>951</v>
      </c>
      <c r="I3">
        <v>1</v>
      </c>
      <c r="J3">
        <v>2</v>
      </c>
      <c r="K3" t="s">
        <v>651</v>
      </c>
      <c r="M3" t="s">
        <v>952</v>
      </c>
      <c r="N3" t="s">
        <v>554</v>
      </c>
      <c r="X3" t="str">
        <f>'Translate&amp;Prices&amp;Logo'!$B$565</f>
        <v>transparentna</v>
      </c>
      <c r="Y3">
        <v>1</v>
      </c>
      <c r="AA3" t="s">
        <v>2079</v>
      </c>
      <c r="AB3" t="s">
        <v>1009</v>
      </c>
      <c r="AF3" t="s">
        <v>105</v>
      </c>
      <c r="AG3" t="s">
        <v>2373</v>
      </c>
      <c r="AY3" t="s">
        <v>984</v>
      </c>
      <c r="BK3" t="s">
        <v>105</v>
      </c>
      <c r="BU3" t="e">
        <f>VLOOKUP(BU2,BV2:BW9,2,0)</f>
        <v>#N/A</v>
      </c>
      <c r="BV3" t="s">
        <v>1015</v>
      </c>
      <c r="BW3" t="s">
        <v>1012</v>
      </c>
      <c r="BY3" t="str">
        <f>'Translate&amp;Prices&amp;Logo'!$B$232</f>
        <v>W lewo</v>
      </c>
      <c r="BZ3">
        <v>1</v>
      </c>
      <c r="CA3">
        <v>32</v>
      </c>
      <c r="CD3" t="s">
        <v>2370</v>
      </c>
      <c r="CE3">
        <v>1</v>
      </c>
      <c r="CF3">
        <v>1</v>
      </c>
      <c r="DN3" t="e">
        <f>IF(OR(Ram_2!$H$13&amp;Ram_2!$AU$7=Ram_2!$M$44,
Ram_2!$H$13&amp;Ram_2!$AU$7=Ram_2!$M$45,
Ram_2!$H$13&amp;Ram_2!$AU$7=Ram_2!$M$46,
Ram_2!$H$13&amp;Ram_2!$AU$7=Ram_2!$M$47),
'Translate&amp;Prices&amp;Logo'!B659,'Translate&amp;Prices&amp;Logo'!B556)</f>
        <v>#N/A</v>
      </c>
      <c r="DP3" t="str">
        <f>'Translate&amp;Prices&amp;Logo'!$B$554</f>
        <v>Podnośniki</v>
      </c>
      <c r="DQ3">
        <v>3</v>
      </c>
      <c r="ED3" t="s">
        <v>1650</v>
      </c>
      <c r="EE3" t="s">
        <v>3186</v>
      </c>
      <c r="EJ3">
        <v>1</v>
      </c>
      <c r="EK3" t="s">
        <v>113</v>
      </c>
      <c r="EN3" t="str">
        <f>'Translate&amp;Prices&amp;Logo'!B640</f>
        <v>Bez modyfikacji</v>
      </c>
      <c r="EO3">
        <v>1</v>
      </c>
      <c r="ER3" t="s">
        <v>2151</v>
      </c>
      <c r="ES3" t="s">
        <v>2159</v>
      </c>
      <c r="EV3">
        <v>3</v>
      </c>
      <c r="EW3" t="s">
        <v>2176</v>
      </c>
      <c r="EY3" s="206" t="str">
        <f>'Translate&amp;Prices&amp;Logo'!B167</f>
        <v>siatka stal czarny mat RAL 9005– oko 8x4x1 mm</v>
      </c>
      <c r="FA3" s="34" t="str">
        <f>'Translate&amp;Prices&amp;Logo'!B647</f>
        <v>520406 SALICE AIR PUSH TO OPEN zawiasy niklowe z zestawem adapterów 2 szt</v>
      </c>
    </row>
    <row r="4" spans="1:159">
      <c r="A4" t="str">
        <f>'Translate&amp;Prices&amp;Logo'!$B$8</f>
        <v>BRW bialy matowy RAL 9003 - maksymalna zalecana długość profilu 2500 mm</v>
      </c>
      <c r="B4">
        <v>1</v>
      </c>
      <c r="C4" t="s">
        <v>651</v>
      </c>
      <c r="D4">
        <v>0</v>
      </c>
      <c r="G4" t="s">
        <v>951</v>
      </c>
      <c r="H4" t="s">
        <v>382</v>
      </c>
      <c r="I4">
        <v>0</v>
      </c>
      <c r="J4">
        <v>2</v>
      </c>
      <c r="K4" t="s">
        <v>651</v>
      </c>
      <c r="M4" t="s">
        <v>955</v>
      </c>
      <c r="N4" t="s">
        <v>856</v>
      </c>
      <c r="X4" t="str">
        <f>'Translate&amp;Prices&amp;Logo'!$B$566</f>
        <v>Biała</v>
      </c>
      <c r="Y4">
        <v>2</v>
      </c>
      <c r="AA4" t="s">
        <v>954</v>
      </c>
      <c r="AB4" t="s">
        <v>2370</v>
      </c>
      <c r="AC4">
        <v>1</v>
      </c>
      <c r="AD4">
        <v>1</v>
      </c>
      <c r="AF4" t="s">
        <v>106</v>
      </c>
      <c r="AG4" t="s">
        <v>2373</v>
      </c>
      <c r="AY4" t="s">
        <v>984</v>
      </c>
      <c r="AZ4" t="s">
        <v>1017</v>
      </c>
      <c r="BK4" t="s">
        <v>106</v>
      </c>
      <c r="BV4" t="s">
        <v>1016</v>
      </c>
      <c r="BW4" t="s">
        <v>1011</v>
      </c>
      <c r="BY4" t="str">
        <f>'Translate&amp;Prices&amp;Logo'!$B$231</f>
        <v>W prawo</v>
      </c>
      <c r="BZ4">
        <v>2</v>
      </c>
      <c r="CA4">
        <v>64</v>
      </c>
      <c r="CD4" t="s">
        <v>2150</v>
      </c>
      <c r="CE4">
        <v>1</v>
      </c>
      <c r="CF4">
        <v>0</v>
      </c>
      <c r="DN4" t="e">
        <f>IF(OR(Ram_2!$H$13&amp;Ram_2!$AU$7=Ram_2!$M$44,
Ram_2!$H$13&amp;Ram_2!$AU$7=Ram_2!$M$45,
Ram_2!$H$13&amp;Ram_2!$AU$7=Ram_2!$M$46,
Ram_2!$H$13&amp;Ram_2!$AU$7=Ram_2!$M$47),
'Translate&amp;Prices&amp;Logo'!B659,'Translate&amp;Prices&amp;Logo'!B557)</f>
        <v>#N/A</v>
      </c>
      <c r="ED4" t="s">
        <v>1651</v>
      </c>
      <c r="EE4" t="s">
        <v>3188</v>
      </c>
      <c r="EJ4">
        <v>2</v>
      </c>
      <c r="EK4" t="s">
        <v>114</v>
      </c>
      <c r="EN4" t="str">
        <f>'Translate&amp;Prices&amp;Logo'!B641</f>
        <v>Hartowane (termin dostawy 4 tygodnie)</v>
      </c>
      <c r="EO4">
        <v>2</v>
      </c>
      <c r="ER4" t="s">
        <v>2445</v>
      </c>
      <c r="ES4" t="s">
        <v>2446</v>
      </c>
      <c r="EV4">
        <v>4</v>
      </c>
      <c r="EW4" t="s">
        <v>2177</v>
      </c>
      <c r="EY4" s="206" t="str">
        <f>'Translate&amp;Prices&amp;Logo'!B168</f>
        <v>siatka stalowa biała - oko 8x4x1 mm</v>
      </c>
      <c r="FA4" s="34" t="str">
        <f>'Translate&amp;Prices&amp;Logo'!B648</f>
        <v>520407 SALICE AIR PUSH TO OPEN zawiasy niklowe z zestawem adapterów 2 szt</v>
      </c>
    </row>
    <row r="5" spans="1:159">
      <c r="A5" t="str">
        <f>'Translate&amp;Prices&amp;Logo'!$B$9</f>
        <v>BRW bialy połysk RAL 9003 - maksymalna zalecana długość profilu 2500 mm</v>
      </c>
      <c r="B5">
        <v>1</v>
      </c>
      <c r="C5" t="s">
        <v>651</v>
      </c>
      <c r="D5">
        <v>0</v>
      </c>
      <c r="F5" t="s">
        <v>957</v>
      </c>
      <c r="G5" t="s">
        <v>381</v>
      </c>
      <c r="H5" t="s">
        <v>951</v>
      </c>
      <c r="I5">
        <v>1</v>
      </c>
      <c r="J5">
        <v>2</v>
      </c>
      <c r="K5" t="s">
        <v>651</v>
      </c>
      <c r="M5" t="s">
        <v>958</v>
      </c>
      <c r="N5" t="s">
        <v>556</v>
      </c>
      <c r="X5" t="str">
        <f>'Translate&amp;Prices&amp;Logo'!$B$567</f>
        <v>czarna</v>
      </c>
      <c r="Y5">
        <v>3</v>
      </c>
      <c r="AA5" t="s">
        <v>954</v>
      </c>
      <c r="AB5" t="s">
        <v>2374</v>
      </c>
      <c r="AC5">
        <v>0</v>
      </c>
      <c r="AD5">
        <v>0</v>
      </c>
      <c r="AF5" t="s">
        <v>105</v>
      </c>
      <c r="AG5" t="s">
        <v>2375</v>
      </c>
      <c r="AY5" t="s">
        <v>984</v>
      </c>
      <c r="AZ5" t="s">
        <v>1018</v>
      </c>
      <c r="BK5" t="s">
        <v>961</v>
      </c>
      <c r="BV5" t="s">
        <v>2497</v>
      </c>
      <c r="BW5" t="s">
        <v>2498</v>
      </c>
      <c r="BY5" t="str">
        <f>'Translate&amp;Prices&amp;Logo'!$B$229</f>
        <v>W górę</v>
      </c>
      <c r="BZ5">
        <v>3</v>
      </c>
      <c r="CA5">
        <v>76</v>
      </c>
      <c r="CD5" t="s">
        <v>964</v>
      </c>
      <c r="CE5">
        <v>1</v>
      </c>
      <c r="CF5">
        <v>0</v>
      </c>
      <c r="ED5" t="s">
        <v>1652</v>
      </c>
      <c r="EE5" t="s">
        <v>3189</v>
      </c>
      <c r="EJ5">
        <v>3</v>
      </c>
      <c r="EK5" t="s">
        <v>74</v>
      </c>
      <c r="EN5" t="str">
        <f>IF(Ram_2!H25="",'Translate&amp;Prices&amp;Logo'!B642,"")</f>
        <v>Folia</v>
      </c>
      <c r="EO5">
        <v>3</v>
      </c>
      <c r="ER5" t="s">
        <v>2447</v>
      </c>
      <c r="ES5" t="s">
        <v>2448</v>
      </c>
      <c r="EV5">
        <v>5</v>
      </c>
      <c r="EW5" t="s">
        <v>2175</v>
      </c>
      <c r="EY5" s="206" t="str">
        <f>'Translate&amp;Prices&amp;Logo'!B169</f>
        <v>siatka elox - oko 10x6x1 mm</v>
      </c>
      <c r="FA5" s="34" t="str">
        <f>'Translate&amp;Prices&amp;Logo'!B649</f>
        <v>520408 SALICE AIR SOFT zawiasy niklowe z zestawem adapterów 2 szt</v>
      </c>
    </row>
    <row r="6" spans="1:159">
      <c r="A6" t="str">
        <f>'Translate&amp;Prices&amp;Logo'!$B$11</f>
        <v>BRW szczotkowany - maksymalna zalecana długość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W dół</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zawiasy o kącie otwarcia 92° kpl. 2 szt</v>
      </c>
    </row>
    <row r="7" spans="1:159">
      <c r="A7" t="str">
        <f>'Translate&amp;Prices&amp;Logo'!$B$12</f>
        <v>BRW Czarny matowy - maksymalna zalecana długość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zawiasy komplet 2 szt</v>
      </c>
    </row>
    <row r="8" spans="1:159">
      <c r="A8" t="str">
        <f>'Translate&amp;Prices&amp;Logo'!$B$14</f>
        <v>BRW czarna szczotka - maksymalna zalecana długość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zawiasy z zestawem adapterów 2 szt</v>
      </c>
    </row>
    <row r="9" spans="1:159">
      <c r="A9" t="str">
        <f>'Translate&amp;Prices&amp;Logo'!$B$15</f>
        <v>BRW INOX ACIER gratta - maksymalna zalecana długość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zawiasy z zestawem adapterów 2 szt</v>
      </c>
    </row>
    <row r="10" spans="1:159">
      <c r="A10" t="str">
        <f>'Translate&amp;Prices&amp;Logo'!$B$7</f>
        <v>BRW antracyt RAL 7021 - maksymalna zalecana długość profilu 2500 mm</v>
      </c>
      <c r="B10">
        <v>1</v>
      </c>
      <c r="C10" t="s">
        <v>651</v>
      </c>
      <c r="D10">
        <v>0</v>
      </c>
      <c r="M10" t="str">
        <f>'Translate&amp;Prices&amp;Logo'!B560</f>
        <v>Poziomo (termin dostawy 4 tygodnie)</v>
      </c>
      <c r="N10">
        <f>IF(Ram_2!$H$9=kombinace_2!M10,1,0)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maksymalna zalecana długość profilu 2500 mm</v>
      </c>
      <c r="B11">
        <v>1</v>
      </c>
      <c r="C11" t="s">
        <v>651</v>
      </c>
      <c r="D11">
        <v>0</v>
      </c>
      <c r="M11" t="str">
        <f>'Translate&amp;Prices&amp;Logo'!B561</f>
        <v>Pionowo (termin dostawy 4 tygodnie)</v>
      </c>
      <c r="N11">
        <f>IF(Ram_2!$H$9=kombinace_2!M11,2,0)</f>
        <v>0</v>
      </c>
      <c r="AC11">
        <v>0</v>
      </c>
      <c r="AD11">
        <v>0</v>
      </c>
      <c r="AF11" t="s">
        <v>105</v>
      </c>
      <c r="AG11" t="s">
        <v>969</v>
      </c>
      <c r="AY11" t="s">
        <v>954</v>
      </c>
      <c r="AZ11" t="s">
        <v>1023</v>
      </c>
      <c r="BQ11" s="208" t="s">
        <v>2263</v>
      </c>
      <c r="BY11">
        <v>5</v>
      </c>
      <c r="CA11">
        <v>240</v>
      </c>
      <c r="CD11" t="str">
        <f>CONCATENATE('Translate&amp;Prices&amp;Logo'!B666,"_K12")</f>
        <v>dolny_K12</v>
      </c>
      <c r="CE11">
        <v>1</v>
      </c>
      <c r="CF11">
        <v>0</v>
      </c>
      <c r="DN11" t="s">
        <v>69</v>
      </c>
      <c r="DO11" s="2" t="s">
        <v>69</v>
      </c>
      <c r="ED11" t="s">
        <v>1658</v>
      </c>
      <c r="EE11" t="s">
        <v>1752</v>
      </c>
      <c r="ER11" t="s">
        <v>2155</v>
      </c>
      <c r="ES11" t="s">
        <v>2161</v>
      </c>
    </row>
    <row r="12" spans="1:159">
      <c r="A12" t="str">
        <f>'Translate&amp;Prices&amp;Logo'!$B$72</f>
        <v>BRW champagne light - maksymalna zalecana długość profilu 2500 mm</v>
      </c>
      <c r="B12">
        <v>1</v>
      </c>
      <c r="C12" t="s">
        <v>651</v>
      </c>
      <c r="D12">
        <v>0</v>
      </c>
      <c r="M12" t="str">
        <f>'Translate&amp;Prices&amp;Logo'!B562</f>
        <v>Poziomo i pionowo (termin dostawy 4 tygodnie)</v>
      </c>
      <c r="N12">
        <f>IF(Ram_2!$H$9=kombinace_2!M12,3,0)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brąz - maksymalna zalecana długość profilu 2500 mm</v>
      </c>
      <c r="B13">
        <v>1</v>
      </c>
      <c r="C13" t="s">
        <v>651</v>
      </c>
      <c r="D13">
        <v>0</v>
      </c>
      <c r="AC13">
        <v>0</v>
      </c>
      <c r="AD13">
        <v>0</v>
      </c>
      <c r="AF13" t="s">
        <v>105</v>
      </c>
      <c r="AG13" t="s">
        <v>972</v>
      </c>
      <c r="AY13" t="s">
        <v>954</v>
      </c>
      <c r="AZ13" t="s">
        <v>1025</v>
      </c>
      <c r="BQ13" s="209"/>
      <c r="BR13" t="s">
        <v>966</v>
      </c>
      <c r="BY13" t="str">
        <f>'Translate&amp;Prices&amp;Logo'!$B$560</f>
        <v>Poziomo (termin dostawy 4 tygodnie)</v>
      </c>
      <c r="BZ13">
        <v>1</v>
      </c>
      <c r="CA13">
        <v>288</v>
      </c>
      <c r="CD13" t="str">
        <f>CONCATENATE('Translate&amp;Prices&amp;Logo'!B666,"_kraby")</f>
        <v>dolny_kraby</v>
      </c>
      <c r="CE13">
        <v>1</v>
      </c>
      <c r="CF13">
        <v>0</v>
      </c>
      <c r="DN13" t="s">
        <v>220</v>
      </c>
      <c r="DO13" s="2" t="s">
        <v>68</v>
      </c>
      <c r="ED13" t="s">
        <v>2507</v>
      </c>
      <c r="EE13" t="s">
        <v>2506</v>
      </c>
      <c r="ER13" t="s">
        <v>2157</v>
      </c>
      <c r="ES13" t="s">
        <v>2157</v>
      </c>
    </row>
    <row r="14" spans="1:159">
      <c r="A14" t="str">
        <f>'Translate&amp;Prices&amp;Logo'!$B$16</f>
        <v>BRW INOX LIJA - maksymalna zalecana długość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Pionowo (termin dostawy 4 tygodnie)</v>
      </c>
      <c r="BZ14">
        <v>2</v>
      </c>
      <c r="CA14">
        <v>320</v>
      </c>
      <c r="CD14" t="s">
        <v>980</v>
      </c>
      <c r="CE14">
        <v>1</v>
      </c>
      <c r="CF14">
        <v>0</v>
      </c>
      <c r="DN14" t="s">
        <v>221</v>
      </c>
      <c r="DO14" s="2" t="s">
        <v>69</v>
      </c>
      <c r="ED14" t="s">
        <v>1660</v>
      </c>
      <c r="EE14" t="s">
        <v>1754</v>
      </c>
      <c r="ER14" t="s">
        <v>2158</v>
      </c>
      <c r="ES14" t="s">
        <v>2158</v>
      </c>
    </row>
    <row r="15" spans="1:159">
      <c r="A15" t="str">
        <f>'Translate&amp;Prices&amp;Logo'!$B$64</f>
        <v>BRW kaszmirowy - maksymalna zalecana długość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Poziomo i pionowo (termin dostawy 4 tygodnie)</v>
      </c>
      <c r="BZ15">
        <v>3</v>
      </c>
      <c r="CA15">
        <v>384</v>
      </c>
      <c r="CD15" t="s">
        <v>981</v>
      </c>
      <c r="CE15">
        <v>1</v>
      </c>
      <c r="CF15">
        <v>0</v>
      </c>
      <c r="DN15" t="s">
        <v>1145</v>
      </c>
      <c r="DO15" s="2" t="s">
        <v>70</v>
      </c>
      <c r="ED15" t="s">
        <v>1661</v>
      </c>
      <c r="EE15" t="s">
        <v>1755</v>
      </c>
      <c r="ER15" t="s">
        <v>2159</v>
      </c>
      <c r="ES15" t="s">
        <v>2159</v>
      </c>
    </row>
    <row r="16" spans="1:159">
      <c r="A16" t="str">
        <f>'Translate&amp;Prices&amp;Logo'!$B$13</f>
        <v>BRW złota- maksymalna zalecana długość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StrongLift_gorny</v>
      </c>
      <c r="CE16">
        <v>1</v>
      </c>
      <c r="CF16">
        <v>1</v>
      </c>
      <c r="DN16" t="s">
        <v>284</v>
      </c>
      <c r="DO16" s="2" t="s">
        <v>68</v>
      </c>
      <c r="ED16" t="s">
        <v>1662</v>
      </c>
      <c r="EE16" t="s">
        <v>1756</v>
      </c>
      <c r="ER16" t="s">
        <v>2446</v>
      </c>
      <c r="ES16" t="s">
        <v>2446</v>
      </c>
      <c r="FC16" s="244"/>
    </row>
    <row r="17" spans="1:159">
      <c r="A17" t="str">
        <f>'Translate&amp;Prices&amp;Logo'!$B$55</f>
        <v>BRW złota szczotkowany - maksymalna zalecana zalecana długość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StrongLift_dolny</v>
      </c>
      <c r="CE17">
        <v>1</v>
      </c>
      <c r="CF17">
        <v>1</v>
      </c>
      <c r="DN17" t="s">
        <v>1244</v>
      </c>
      <c r="DO17" s="2" t="s">
        <v>69</v>
      </c>
      <c r="ED17" t="s">
        <v>1663</v>
      </c>
      <c r="EE17" t="s">
        <v>1757</v>
      </c>
      <c r="ER17" t="s">
        <v>2448</v>
      </c>
      <c r="ES17" t="s">
        <v>2448</v>
      </c>
      <c r="FC17" s="244"/>
    </row>
    <row r="18" spans="1:159">
      <c r="A18" t="str">
        <f>'Translate&amp;Prices&amp;Logo'!$B$17</f>
        <v>Corleone (elox.)- maksymalna zalecana długość profilu 1500 mm</v>
      </c>
      <c r="B18">
        <v>2</v>
      </c>
      <c r="C18" t="s">
        <v>651</v>
      </c>
      <c r="D18">
        <v>0</v>
      </c>
      <c r="E18">
        <v>3</v>
      </c>
      <c r="F18" t="str">
        <f>'Translate&amp;Prices&amp;Logo'!$B$82</f>
        <v>Rocca elox (lewa i prawa) + Varna elox (góra i dół)</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czarny matowy - maksymalna zalecana długość profilu 1500 mm</v>
      </c>
      <c r="B19">
        <v>2</v>
      </c>
      <c r="C19" t="s">
        <v>651</v>
      </c>
      <c r="D19">
        <v>0</v>
      </c>
      <c r="F19" t="str">
        <f>'Translate&amp;Prices&amp;Logo'!$B$83</f>
        <v>Rocca czarny (lewa i prawa) + Varna czarny (góra i dół)</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czarne  - maksymalna zalecana długość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antracyt mat RAL 7021 mat lakier - maksymalna zalecana długość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maksymalna zalecana długość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Czarny matowy - maksymalna zalecana długość profilu 2500 mm</v>
      </c>
      <c r="B23">
        <v>2</v>
      </c>
      <c r="C23" t="s">
        <v>998</v>
      </c>
      <c r="D23">
        <v>0</v>
      </c>
      <c r="AA23" t="s">
        <v>966</v>
      </c>
      <c r="AB23" t="e">
        <f>IF(Ram_2!AU7=2,"FREEspace","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bialy matowy RAL 9003 - maksymalna zalecana długość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złota - maksymalna zalecana zalecana długość profilu 2150 mm</v>
      </c>
      <c r="B25">
        <v>2</v>
      </c>
      <c r="C25" t="s">
        <v>998</v>
      </c>
      <c r="D25">
        <v>0</v>
      </c>
      <c r="AF25" t="s">
        <v>105</v>
      </c>
      <c r="AG25" t="s">
        <v>980</v>
      </c>
      <c r="ED25" t="s">
        <v>1671</v>
      </c>
      <c r="EE25" t="s">
        <v>3200</v>
      </c>
      <c r="ER25" t="s">
        <v>2167</v>
      </c>
      <c r="ES25" t="s">
        <v>2167</v>
      </c>
    </row>
    <row r="26" spans="1:159">
      <c r="A26" t="str">
        <f>'Translate&amp;Prices&amp;Logo'!$B$22</f>
        <v>Modena (elox.) - maksymalna zalecana długość profilu 2500 mm</v>
      </c>
      <c r="B26">
        <v>2</v>
      </c>
      <c r="C26" t="s">
        <v>651</v>
      </c>
      <c r="D26">
        <v>0</v>
      </c>
      <c r="AF26" t="s">
        <v>106</v>
      </c>
      <c r="AG26" t="s">
        <v>980</v>
      </c>
      <c r="ED26" t="s">
        <v>1672</v>
      </c>
      <c r="EE26" t="s">
        <v>3201</v>
      </c>
      <c r="ER26" t="s">
        <v>2168</v>
      </c>
      <c r="ES26" t="s">
        <v>2168</v>
      </c>
    </row>
    <row r="27" spans="1:159">
      <c r="A27" t="str">
        <f>'Translate&amp;Prices&amp;Logo'!$B$23</f>
        <v>Modena Czarny matowy - maksymalna zalecana długość profilu 2500 mm</v>
      </c>
      <c r="B27">
        <v>2</v>
      </c>
      <c r="C27" t="s">
        <v>651</v>
      </c>
      <c r="D27">
        <v>0</v>
      </c>
      <c r="AF27" t="s">
        <v>105</v>
      </c>
      <c r="AG27" t="s">
        <v>981</v>
      </c>
      <c r="ED27" t="s">
        <v>1673</v>
      </c>
      <c r="EE27" t="s">
        <v>3203</v>
      </c>
      <c r="ER27" t="s">
        <v>2169</v>
      </c>
      <c r="ES27" t="s">
        <v>2169</v>
      </c>
    </row>
    <row r="28" spans="1:159">
      <c r="A28" t="str">
        <f>'Translate&amp;Prices&amp;Logo'!$B$25</f>
        <v>Modena czarna szczotka - maksymalna zalecana długość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LIJA - maksymalna zalecana długość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brąz - maksymalna zalecana długość profilu 2500 mm</v>
      </c>
      <c r="B30">
        <v>2</v>
      </c>
      <c r="C30" t="s">
        <v>651</v>
      </c>
      <c r="D30">
        <v>0</v>
      </c>
      <c r="AA30" t="s">
        <v>976</v>
      </c>
      <c r="AB30" t="str">
        <f>CONCATENATE('Translate&amp;Prices&amp;Logo'!B666,"_K12")</f>
        <v>dolny_K12</v>
      </c>
      <c r="AC30">
        <v>1</v>
      </c>
      <c r="AD30">
        <v>0</v>
      </c>
      <c r="AF30" t="s">
        <v>106</v>
      </c>
      <c r="AG30" t="s">
        <v>982</v>
      </c>
      <c r="ED30" t="s">
        <v>1676</v>
      </c>
      <c r="EE30" t="s">
        <v>3206</v>
      </c>
      <c r="ER30" t="s">
        <v>2459</v>
      </c>
      <c r="ES30" t="s">
        <v>2459</v>
      </c>
    </row>
    <row r="31" spans="1:159">
      <c r="A31" t="str">
        <f>'Translate&amp;Prices&amp;Logo'!$B$29</f>
        <v>Pisa (elox.) - maksymalna zalecana długość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biały matowy RAL 9003 - maksymalna zalecana zalecana długość profilu 2500 mm</v>
      </c>
      <c r="B32">
        <v>2</v>
      </c>
      <c r="C32" t="s">
        <v>998</v>
      </c>
      <c r="D32">
        <v>0</v>
      </c>
      <c r="AA32" t="s">
        <v>976</v>
      </c>
      <c r="AB32" t="str">
        <f>CONCATENATE('Translate&amp;Prices&amp;Logo'!B666,"_kraby")</f>
        <v>dolny_kraby</v>
      </c>
      <c r="AC32">
        <v>1</v>
      </c>
      <c r="AD32">
        <v>0</v>
      </c>
      <c r="AF32" t="s">
        <v>106</v>
      </c>
      <c r="AG32" t="s">
        <v>983</v>
      </c>
      <c r="BY32" t="str">
        <f>'Translate&amp;Prices&amp;Logo'!$B$232</f>
        <v>W lewo</v>
      </c>
      <c r="BZ32" t="str">
        <f>'Translate&amp;Prices&amp;Logo'!$B$244&amp;" "&amp;'Translate&amp;Prices&amp;Logo'!$B$593</f>
        <v>Odległość od lewej krawędzi (górnej)</v>
      </c>
      <c r="CA32" t="str">
        <f>'Translate&amp;Prices&amp;Logo'!$B$244&amp;" "&amp;'Translate&amp;Prices&amp;Logo'!$B$591</f>
        <v>Odległość od lewej krawędzi (dolnej)</v>
      </c>
      <c r="CC32" t="s">
        <v>4537</v>
      </c>
      <c r="CD32" t="s">
        <v>4532</v>
      </c>
      <c r="ED32" t="s">
        <v>1678</v>
      </c>
      <c r="EE32" t="s">
        <v>3208</v>
      </c>
      <c r="ER32" t="s">
        <v>2461</v>
      </c>
      <c r="ES32" t="s">
        <v>2461</v>
      </c>
    </row>
    <row r="33" spans="1:149">
      <c r="A33" t="str">
        <f>'Translate&amp;Prices&amp;Logo'!$B$53</f>
        <v>Pisa biały połysk RAL 9003 - maksymalna zalecana zalecana długość profilu 2500 mm</v>
      </c>
      <c r="B33">
        <v>2</v>
      </c>
      <c r="C33" t="s">
        <v>998</v>
      </c>
      <c r="D33">
        <v>0</v>
      </c>
      <c r="AA33" t="s">
        <v>976</v>
      </c>
      <c r="AB33" t="s">
        <v>980</v>
      </c>
      <c r="AC33">
        <v>1</v>
      </c>
      <c r="AD33">
        <v>0</v>
      </c>
      <c r="AF33" t="s">
        <v>105</v>
      </c>
      <c r="AG33" t="s">
        <v>985</v>
      </c>
      <c r="BY33" t="str">
        <f>'Translate&amp;Prices&amp;Logo'!$B$231</f>
        <v>W prawo</v>
      </c>
      <c r="BZ33" t="str">
        <f>'Translate&amp;Prices&amp;Logo'!$B$645&amp;" "&amp;'Translate&amp;Prices&amp;Logo'!$B$593</f>
        <v>Odległość od prawej krawędzi (górnej)</v>
      </c>
      <c r="CA33" t="str">
        <f>'Translate&amp;Prices&amp;Logo'!$B$645&amp;" "&amp;'Translate&amp;Prices&amp;Logo'!$B$591</f>
        <v>Odległość od prawej krawędzi (dolnej)</v>
      </c>
      <c r="CC33" t="s">
        <v>4540</v>
      </c>
      <c r="CD33" t="s">
        <v>4538</v>
      </c>
      <c r="ED33" t="s">
        <v>1679</v>
      </c>
      <c r="EE33" t="s">
        <v>3209</v>
      </c>
      <c r="ER33" t="s">
        <v>2462</v>
      </c>
      <c r="ES33" t="s">
        <v>2462</v>
      </c>
    </row>
    <row r="34" spans="1:149">
      <c r="A34" t="str">
        <f>'Translate&amp;Prices&amp;Logo'!$B$30</f>
        <v>Pisa Czarny matowy - maksymalna zalecana długość profilu 2500 mm</v>
      </c>
      <c r="B34">
        <v>2</v>
      </c>
      <c r="C34" t="s">
        <v>998</v>
      </c>
      <c r="D34">
        <v>0</v>
      </c>
      <c r="AA34" t="s">
        <v>976</v>
      </c>
      <c r="AB34" t="s">
        <v>981</v>
      </c>
      <c r="AC34">
        <v>1</v>
      </c>
      <c r="AD34">
        <v>0</v>
      </c>
      <c r="AF34" t="s">
        <v>106</v>
      </c>
      <c r="AG34" t="s">
        <v>985</v>
      </c>
      <c r="BY34" t="str">
        <f>'Translate&amp;Prices&amp;Logo'!$B$229</f>
        <v>W górę</v>
      </c>
      <c r="BZ34" t="str">
        <f>'Translate&amp;Prices&amp;Logo'!$B$674&amp;" "&amp;'Translate&amp;Prices&amp;Logo'!$B$592</f>
        <v>Odległość od górnej krawędzi (lewej)</v>
      </c>
      <c r="CA34" t="str">
        <f>'Translate&amp;Prices&amp;Logo'!$B$674&amp;" "&amp;'Translate&amp;Prices&amp;Logo'!$B$594</f>
        <v>Odległość od górnej krawędzi (prawej)</v>
      </c>
      <c r="CC34" t="s">
        <v>4534</v>
      </c>
      <c r="CD34" t="s">
        <v>4536</v>
      </c>
      <c r="ED34" t="s">
        <v>1680</v>
      </c>
      <c r="EE34" t="s">
        <v>3210</v>
      </c>
      <c r="ER34" t="s">
        <v>2170</v>
      </c>
      <c r="ES34" t="s">
        <v>2170</v>
      </c>
    </row>
    <row r="35" spans="1:149">
      <c r="A35" t="str">
        <f>'Translate&amp;Prices&amp;Logo'!$B$58</f>
        <v>Pisa złota - maksymalna zalecana długość profilu 2150 mm</v>
      </c>
      <c r="B35">
        <v>2</v>
      </c>
      <c r="C35" t="s">
        <v>998</v>
      </c>
      <c r="D35">
        <v>0</v>
      </c>
      <c r="BY35" t="str">
        <f>'Translate&amp;Prices&amp;Logo'!$B$230</f>
        <v>W dół</v>
      </c>
      <c r="BZ35" t="str">
        <f>'Translate&amp;Prices&amp;Logo'!$B$675&amp;" "&amp;'Translate&amp;Prices&amp;Logo'!$B$592</f>
        <v>Odległość od dolnej krawędzi (lewej)</v>
      </c>
      <c r="CA35" t="str">
        <f>'Translate&amp;Prices&amp;Logo'!$B$675&amp;" "&amp;'Translate&amp;Prices&amp;Logo'!$B$594</f>
        <v>Odległość od dolnej krawędzi (prawej)</v>
      </c>
      <c r="CC35" t="s">
        <v>4533</v>
      </c>
      <c r="CD35" t="s">
        <v>4535</v>
      </c>
      <c r="ED35" t="s">
        <v>1681</v>
      </c>
      <c r="EE35" t="s">
        <v>1775</v>
      </c>
      <c r="ER35" t="s">
        <v>2171</v>
      </c>
      <c r="ES35" t="s">
        <v>2171</v>
      </c>
    </row>
    <row r="36" spans="1:149">
      <c r="A36" t="str">
        <f>'Translate&amp;Prices&amp;Logo'!$B$66</f>
        <v>Rimini elox naturalna - maksymalna długość profilu 1100 mm</v>
      </c>
      <c r="B36">
        <v>1</v>
      </c>
      <c r="C36" t="s">
        <v>651</v>
      </c>
      <c r="D36">
        <v>0</v>
      </c>
      <c r="ED36" t="s">
        <v>1620</v>
      </c>
      <c r="EE36" t="s">
        <v>1776</v>
      </c>
      <c r="ER36" t="s">
        <v>2172</v>
      </c>
      <c r="ES36" t="s">
        <v>2172</v>
      </c>
    </row>
    <row r="37" spans="1:149">
      <c r="A37" t="str">
        <f>'Translate&amp;Prices&amp;Logo'!$B$67</f>
        <v>Rimini czarny mat - maksymalna długość profilu 1100 mm</v>
      </c>
      <c r="B37">
        <v>1</v>
      </c>
      <c r="C37" t="s">
        <v>651</v>
      </c>
      <c r="D37">
        <v>0</v>
      </c>
      <c r="BY37" t="s">
        <v>1332</v>
      </c>
      <c r="ED37" t="s">
        <v>1621</v>
      </c>
      <c r="EE37" t="s">
        <v>1777</v>
      </c>
      <c r="ER37" t="s">
        <v>2215</v>
      </c>
      <c r="ES37" t="s">
        <v>2209</v>
      </c>
    </row>
    <row r="38" spans="1:149">
      <c r="A38" t="str">
        <f>'Translate&amp;Prices&amp;Logo'!$B$68</f>
        <v>Rimini champagne - maksymalna długość profilu 1100 mm</v>
      </c>
      <c r="B38">
        <v>1</v>
      </c>
      <c r="C38" t="s">
        <v>651</v>
      </c>
      <c r="D38">
        <v>0</v>
      </c>
      <c r="ED38" t="s">
        <v>1622</v>
      </c>
      <c r="EE38" t="s">
        <v>1778</v>
      </c>
      <c r="ER38" t="s">
        <v>2216</v>
      </c>
      <c r="ES38" t="s">
        <v>2210</v>
      </c>
    </row>
    <row r="39" spans="1:149">
      <c r="A39" t="str">
        <f>'Translate&amp;Prices&amp;Logo'!$B$69</f>
        <v>Rimini zlota - maksymalna długość profilu 1100 mm</v>
      </c>
      <c r="B39">
        <v>1</v>
      </c>
      <c r="C39" t="s">
        <v>651</v>
      </c>
      <c r="D39">
        <v>0</v>
      </c>
      <c r="AA39" t="s">
        <v>2500</v>
      </c>
      <c r="AB39" t="s">
        <v>2498</v>
      </c>
      <c r="ED39" t="s">
        <v>1623</v>
      </c>
      <c r="EE39" t="s">
        <v>1779</v>
      </c>
      <c r="ER39" t="s">
        <v>2217</v>
      </c>
      <c r="ES39" t="s">
        <v>2211</v>
      </c>
    </row>
    <row r="40" spans="1:149">
      <c r="A40" t="str">
        <f>'Translate&amp;Prices&amp;Logo'!$B$70</f>
        <v>Rimini zlota szczotkowana - maksymalna długość profilu 1100 mm</v>
      </c>
      <c r="B40">
        <v>1</v>
      </c>
      <c r="C40" t="s">
        <v>651</v>
      </c>
      <c r="D40">
        <v>0</v>
      </c>
      <c r="AA40" t="s">
        <v>2500</v>
      </c>
      <c r="AB40" t="str">
        <f>'Translate&amp;Prices&amp;Logo'!B661</f>
        <v>StrongLift_gorny</v>
      </c>
      <c r="AC40">
        <v>1</v>
      </c>
      <c r="AD40">
        <v>0</v>
      </c>
      <c r="ED40" t="s">
        <v>1624</v>
      </c>
      <c r="EE40" t="s">
        <v>1780</v>
      </c>
      <c r="ER40" t="s">
        <v>2218</v>
      </c>
      <c r="ES40" t="s">
        <v>2212</v>
      </c>
    </row>
    <row r="41" spans="1:149">
      <c r="A41" t="str">
        <f>'Translate&amp;Prices&amp;Logo'!$B$50</f>
        <v>Rocca (elox.) - maksymalna zalecana zalecana długość profilu 2150 mm</v>
      </c>
      <c r="B41">
        <v>1</v>
      </c>
      <c r="C41" t="s">
        <v>651</v>
      </c>
      <c r="D41">
        <v>0</v>
      </c>
      <c r="AB41" t="str">
        <f>'Translate&amp;Prices&amp;Logo'!B662</f>
        <v>StrongLift_dolny</v>
      </c>
      <c r="AC41">
        <v>1</v>
      </c>
      <c r="AD41">
        <v>0</v>
      </c>
      <c r="ED41" t="s">
        <v>1625</v>
      </c>
      <c r="EE41" t="s">
        <v>1781</v>
      </c>
      <c r="ER41" t="s">
        <v>2219</v>
      </c>
      <c r="ES41" t="s">
        <v>2213</v>
      </c>
    </row>
    <row r="42" spans="1:149">
      <c r="A42" t="str">
        <f>'Translate&amp;Prices&amp;Logo'!$B$42</f>
        <v>Rocca czarny matowy - maksymalna zalecana zalecana długość profilu 2150 mm</v>
      </c>
      <c r="B42">
        <v>1</v>
      </c>
      <c r="C42" t="s">
        <v>651</v>
      </c>
      <c r="D42">
        <v>0</v>
      </c>
      <c r="AA42" t="s">
        <v>2082</v>
      </c>
      <c r="AB42" t="s">
        <v>1010</v>
      </c>
      <c r="ED42" t="s">
        <v>1626</v>
      </c>
      <c r="EE42" t="s">
        <v>1782</v>
      </c>
      <c r="ER42" t="s">
        <v>2220</v>
      </c>
      <c r="ES42" t="s">
        <v>2214</v>
      </c>
    </row>
    <row r="43" spans="1:149">
      <c r="A43" t="str">
        <f>'Translate&amp;Prices&amp;Logo'!$B$63</f>
        <v>Treviso czarny matowy - maksymalna zalecana długość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maksymalna zalecana zalecana długość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szczotkowany - maksymalna zalecana zalecana długość profilu 2500 mm</v>
      </c>
      <c r="B45">
        <v>1</v>
      </c>
      <c r="C45" t="s">
        <v>651</v>
      </c>
      <c r="D45">
        <v>0</v>
      </c>
      <c r="AB45" t="s">
        <v>1111</v>
      </c>
      <c r="AC45">
        <v>0</v>
      </c>
      <c r="AD45">
        <v>0</v>
      </c>
      <c r="ED45" t="s">
        <v>1629</v>
      </c>
      <c r="EE45" t="s">
        <v>1785</v>
      </c>
      <c r="ER45" t="s">
        <v>2239</v>
      </c>
      <c r="ES45" t="s">
        <v>2233</v>
      </c>
    </row>
    <row r="46" spans="1:149">
      <c r="A46" t="str">
        <f>'Translate&amp;Prices&amp;Logo'!$B$37</f>
        <v>Verona czarny matowy - maksymalna zalecana zalecana długość profilu 2500 mm</v>
      </c>
      <c r="B46">
        <v>1</v>
      </c>
      <c r="C46" t="s">
        <v>651</v>
      </c>
      <c r="D46">
        <v>0</v>
      </c>
      <c r="ED46" t="s">
        <v>1630</v>
      </c>
      <c r="EE46" t="s">
        <v>1786</v>
      </c>
      <c r="ER46" t="s">
        <v>2240</v>
      </c>
      <c r="ES46" t="s">
        <v>2234</v>
      </c>
    </row>
    <row r="47" spans="1:149">
      <c r="A47" t="str">
        <f>'Translate&amp;Prices&amp;Logo'!$B$36</f>
        <v>Verona czarny połysk - maksymalna zalecana zalecana długość profilu 2500 mm</v>
      </c>
      <c r="B47">
        <v>1</v>
      </c>
      <c r="C47" t="s">
        <v>651</v>
      </c>
      <c r="D47">
        <v>0</v>
      </c>
      <c r="ED47" t="s">
        <v>1631</v>
      </c>
      <c r="EE47" t="s">
        <v>1787</v>
      </c>
      <c r="ER47" t="s">
        <v>2241</v>
      </c>
      <c r="ES47" t="s">
        <v>2235</v>
      </c>
    </row>
    <row r="48" spans="1:149">
      <c r="A48" t="str">
        <f>'Translate&amp;Prices&amp;Logo'!$B$38</f>
        <v>Verona braz - maksymalna zalecana zalecana długość profilu 2500 mm</v>
      </c>
      <c r="B48">
        <v>1</v>
      </c>
      <c r="C48" t="s">
        <v>651</v>
      </c>
      <c r="D48">
        <v>0</v>
      </c>
      <c r="ED48" t="s">
        <v>1632</v>
      </c>
      <c r="EE48" t="s">
        <v>1788</v>
      </c>
      <c r="ER48" t="s">
        <v>2242</v>
      </c>
      <c r="ES48" t="s">
        <v>2236</v>
      </c>
    </row>
    <row r="49" spans="1:149">
      <c r="A49" t="str">
        <f>'Translate&amp;Prices&amp;Logo'!$B$39</f>
        <v>Verona szampański - maksymalna zalecana zalecana długość profilu 2500 mm</v>
      </c>
      <c r="B49">
        <v>1</v>
      </c>
      <c r="C49" t="s">
        <v>651</v>
      </c>
      <c r="D49">
        <v>0</v>
      </c>
      <c r="AA49" t="s">
        <v>2083</v>
      </c>
      <c r="AB49" t="s">
        <v>2085</v>
      </c>
      <c r="ED49" t="s">
        <v>1633</v>
      </c>
      <c r="EE49" t="s">
        <v>1789</v>
      </c>
      <c r="ER49" t="s">
        <v>2243</v>
      </c>
      <c r="ES49" t="s">
        <v>2237</v>
      </c>
    </row>
    <row r="50" spans="1:149">
      <c r="A50" t="str">
        <f>'Translate&amp;Prices&amp;Logo'!$B$40</f>
        <v>Verona Inox szczotkowany (Inox Lija)- maksymalna zalecana zalecana długość profilu 2500 mm</v>
      </c>
      <c r="B50">
        <v>1</v>
      </c>
      <c r="C50" t="s">
        <v>651</v>
      </c>
      <c r="D50">
        <v>0</v>
      </c>
      <c r="AB50" t="s">
        <v>2374</v>
      </c>
      <c r="AC50">
        <v>0</v>
      </c>
      <c r="AD50">
        <v>0</v>
      </c>
      <c r="ED50" t="s">
        <v>1634</v>
      </c>
      <c r="EE50" t="s">
        <v>1790</v>
      </c>
      <c r="ER50" t="s">
        <v>2244</v>
      </c>
      <c r="ES50" t="s">
        <v>2238</v>
      </c>
    </row>
    <row r="51" spans="1:149">
      <c r="A51" t="str">
        <f>'Translate&amp;Prices&amp;Logo'!$B$41</f>
        <v>Verona Acier Gratta - maksymalna zalecana zalecana długość profilu 2500 mm</v>
      </c>
      <c r="B51">
        <v>1</v>
      </c>
      <c r="C51" t="s">
        <v>651</v>
      </c>
      <c r="D51">
        <v>0</v>
      </c>
      <c r="AB51" t="s">
        <v>2376</v>
      </c>
      <c r="AC51">
        <v>0</v>
      </c>
      <c r="AD51">
        <v>0</v>
      </c>
      <c r="ED51" t="s">
        <v>1635</v>
      </c>
      <c r="EE51" t="s">
        <v>1791</v>
      </c>
      <c r="ER51" t="s">
        <v>2473</v>
      </c>
      <c r="ES51" t="s">
        <v>2465</v>
      </c>
    </row>
    <row r="52" spans="1:149">
      <c r="A52" t="str">
        <f>'Translate&amp;Prices&amp;Logo'!$B$62</f>
        <v>Verona Ivory mat - maksymalna zalecana zalecana długość profilu 2150 mm</v>
      </c>
      <c r="B52">
        <v>1</v>
      </c>
      <c r="C52" t="s">
        <v>651</v>
      </c>
      <c r="D52">
        <v>0</v>
      </c>
      <c r="AB52" t="s">
        <v>2371</v>
      </c>
      <c r="AC52">
        <v>0</v>
      </c>
      <c r="AD52">
        <v>0</v>
      </c>
      <c r="ED52" t="s">
        <v>1636</v>
      </c>
      <c r="EE52" t="s">
        <v>1792</v>
      </c>
      <c r="ER52" t="s">
        <v>2474</v>
      </c>
      <c r="ES52" t="s">
        <v>2466</v>
      </c>
    </row>
    <row r="53" spans="1:149">
      <c r="A53" t="str">
        <f>'Translate&amp;Prices&amp;Logo'!$B$65</f>
        <v>Verona kaszmirowy - maksymalna zalecana długość profilu 2150 mm</v>
      </c>
      <c r="B53">
        <v>1</v>
      </c>
      <c r="C53" t="s">
        <v>651</v>
      </c>
      <c r="D53">
        <v>0</v>
      </c>
      <c r="AB53" t="s">
        <v>2372</v>
      </c>
      <c r="AC53">
        <v>0</v>
      </c>
      <c r="AD53">
        <v>0</v>
      </c>
      <c r="ED53" t="s">
        <v>1637</v>
      </c>
      <c r="EE53" t="s">
        <v>1793</v>
      </c>
      <c r="ER53" t="s">
        <v>2475</v>
      </c>
      <c r="ES53" t="s">
        <v>2467</v>
      </c>
    </row>
    <row r="54" spans="1:149">
      <c r="A54" t="str">
        <f>'Translate&amp;Prices&amp;Logo'!$B$24</f>
        <v>Verona złota - maksymalna zalecana długość profilu 2150 mm</v>
      </c>
      <c r="B54">
        <v>1</v>
      </c>
      <c r="C54" t="s">
        <v>651</v>
      </c>
      <c r="D54">
        <v>0</v>
      </c>
      <c r="ED54" t="s">
        <v>1638</v>
      </c>
      <c r="EE54" t="s">
        <v>1794</v>
      </c>
      <c r="ER54" t="s">
        <v>2476</v>
      </c>
      <c r="ES54" t="s">
        <v>2468</v>
      </c>
    </row>
    <row r="55" spans="1:149">
      <c r="A55" t="str">
        <f>'Translate&amp;Prices&amp;Logo'!$B$56</f>
        <v>Verona złota szczotkowany - maksymalna zalecana zalecana długość profilu 2150 mm</v>
      </c>
      <c r="B55">
        <v>1</v>
      </c>
      <c r="C55" t="s">
        <v>651</v>
      </c>
      <c r="D55">
        <v>0</v>
      </c>
      <c r="ED55" t="s">
        <v>1639</v>
      </c>
      <c r="EE55" t="s">
        <v>1795</v>
      </c>
      <c r="ER55" t="s">
        <v>2477</v>
      </c>
      <c r="ES55" t="s">
        <v>2469</v>
      </c>
    </row>
    <row r="56" spans="1:149">
      <c r="A56" t="str">
        <f>'Translate&amp;Prices&amp;Logo'!$B$43</f>
        <v>Vivaro (elox.) - maksymalna zalecana zalecana długość profilu 2500 mm</v>
      </c>
      <c r="B56">
        <v>2</v>
      </c>
      <c r="C56" t="s">
        <v>651</v>
      </c>
      <c r="D56">
        <v>1</v>
      </c>
      <c r="ED56" t="s">
        <v>1640</v>
      </c>
      <c r="EE56" t="s">
        <v>1796</v>
      </c>
      <c r="ER56" t="s">
        <v>2478</v>
      </c>
      <c r="ES56" t="s">
        <v>2470</v>
      </c>
    </row>
    <row r="57" spans="1:149">
      <c r="A57" t="str">
        <f>'Translate&amp;Prices&amp;Logo'!$B$44</f>
        <v>Vivaro czarny matowy - maksymalna zalecana zalecana długość profilu 2500 mm</v>
      </c>
      <c r="B57">
        <v>2</v>
      </c>
      <c r="C57" t="s">
        <v>651</v>
      </c>
      <c r="D57">
        <v>1</v>
      </c>
      <c r="ED57" t="s">
        <v>1641</v>
      </c>
      <c r="EE57" t="s">
        <v>1797</v>
      </c>
      <c r="ER57" t="s">
        <v>2221</v>
      </c>
      <c r="ES57" t="s">
        <v>2209</v>
      </c>
    </row>
    <row r="58" spans="1:149">
      <c r="A58" t="str">
        <f>'Translate&amp;Prices&amp;Logo'!$B$46</f>
        <v>Vivaro INOX LIJA - maksymalna zalecana zalecana długość profilu 2500 mm</v>
      </c>
      <c r="B58">
        <v>2</v>
      </c>
      <c r="C58" t="s">
        <v>651</v>
      </c>
      <c r="D58">
        <v>0</v>
      </c>
      <c r="ED58" t="s">
        <v>1642</v>
      </c>
      <c r="EE58" t="s">
        <v>1798</v>
      </c>
      <c r="ER58" t="s">
        <v>2222</v>
      </c>
      <c r="ES58" t="s">
        <v>2210</v>
      </c>
    </row>
    <row r="59" spans="1:149">
      <c r="A59" t="str">
        <f>'Translate&amp;Prices&amp;Logo'!$B$47</f>
        <v>Vivaro biały matowy RAL 9003 - maksymalna zalecana zalecana długość profilu 2500 mm</v>
      </c>
      <c r="B59">
        <v>2</v>
      </c>
      <c r="C59" t="s">
        <v>651</v>
      </c>
      <c r="D59">
        <v>0</v>
      </c>
      <c r="AA59" t="s">
        <v>2084</v>
      </c>
      <c r="AB59" t="s">
        <v>2086</v>
      </c>
      <c r="ED59" t="s">
        <v>1643</v>
      </c>
      <c r="EE59" t="s">
        <v>1799</v>
      </c>
      <c r="ER59" t="s">
        <v>2223</v>
      </c>
      <c r="ES59" t="s">
        <v>2211</v>
      </c>
    </row>
    <row r="60" spans="1:149">
      <c r="A60" t="str">
        <f>'Translate&amp;Prices&amp;Logo'!$B$48</f>
        <v>Vivaro biały połysk RAL 9003 - maksymalna zalecana zalecana długość profilu 2500 mm</v>
      </c>
      <c r="B60">
        <v>2</v>
      </c>
      <c r="C60" t="s">
        <v>651</v>
      </c>
      <c r="D60">
        <v>0</v>
      </c>
      <c r="AB60" t="s">
        <v>968</v>
      </c>
      <c r="AC60">
        <v>0</v>
      </c>
      <c r="AD60">
        <v>0</v>
      </c>
      <c r="ED60" t="s">
        <v>1644</v>
      </c>
      <c r="EE60" t="s">
        <v>1800</v>
      </c>
      <c r="ER60" t="s">
        <v>2224</v>
      </c>
      <c r="ES60" t="s">
        <v>2212</v>
      </c>
    </row>
    <row r="61" spans="1:149">
      <c r="A61" t="str">
        <f>'Translate&amp;Prices&amp;Logo'!$B$31</f>
        <v>Vivaro złota - maksymalna zalecana zalecana długość profilu 2150 mm</v>
      </c>
      <c r="B61">
        <v>2</v>
      </c>
      <c r="C61" t="s">
        <v>651</v>
      </c>
      <c r="D61">
        <v>1</v>
      </c>
      <c r="AB61" t="s">
        <v>970</v>
      </c>
      <c r="AC61">
        <v>0</v>
      </c>
      <c r="AD61">
        <v>0</v>
      </c>
      <c r="ED61" t="s">
        <v>1645</v>
      </c>
      <c r="EE61" t="s">
        <v>1801</v>
      </c>
      <c r="ER61" t="s">
        <v>2225</v>
      </c>
      <c r="ES61" t="s">
        <v>2213</v>
      </c>
    </row>
    <row r="62" spans="1:149">
      <c r="A62" t="str">
        <f>'Translate&amp;Prices&amp;Logo'!$B$57</f>
        <v>Vivaro złota szczotkowany - maksymalna zalecana zalecana długość profilu 2150 mm</v>
      </c>
      <c r="B62">
        <v>2</v>
      </c>
      <c r="C62" t="s">
        <v>651</v>
      </c>
      <c r="D62">
        <v>0</v>
      </c>
      <c r="AB62" t="s">
        <v>971</v>
      </c>
      <c r="AC62">
        <v>0</v>
      </c>
      <c r="AD62">
        <v>0</v>
      </c>
      <c r="ED62" t="s">
        <v>1646</v>
      </c>
      <c r="EE62" t="s">
        <v>1802</v>
      </c>
      <c r="ER62" t="s">
        <v>2226</v>
      </c>
      <c r="ES62" t="s">
        <v>2214</v>
      </c>
    </row>
    <row r="63" spans="1:149">
      <c r="A63" t="str">
        <f>'Translate&amp;Prices&amp;Logo'!$B$82</f>
        <v>Rocca elox (lewa i prawa) + Varna elox (góra i dół)</v>
      </c>
      <c r="B63">
        <v>3</v>
      </c>
      <c r="C63" t="s">
        <v>651</v>
      </c>
      <c r="D63">
        <v>0</v>
      </c>
      <c r="AB63" t="s">
        <v>973</v>
      </c>
      <c r="AC63">
        <v>0</v>
      </c>
      <c r="AD63">
        <v>0</v>
      </c>
      <c r="ED63" t="s">
        <v>1647</v>
      </c>
      <c r="EE63" t="s">
        <v>1803</v>
      </c>
      <c r="ER63" t="s">
        <v>2479</v>
      </c>
      <c r="ES63" t="s">
        <v>2463</v>
      </c>
    </row>
    <row r="64" spans="1:149">
      <c r="A64" t="str">
        <f>'Translate&amp;Prices&amp;Logo'!$B$83</f>
        <v>Rocca czarny (lewa i prawa) + Varna czarny (góra i dół)</v>
      </c>
      <c r="B64">
        <v>3</v>
      </c>
      <c r="C64" t="s">
        <v>651</v>
      </c>
      <c r="D64">
        <v>0</v>
      </c>
      <c r="ED64" t="s">
        <v>1648</v>
      </c>
      <c r="EE64" t="s">
        <v>1804</v>
      </c>
      <c r="ER64" t="s">
        <v>2480</v>
      </c>
      <c r="ES64" t="s">
        <v>2464</v>
      </c>
    </row>
    <row r="65" spans="1:149">
      <c r="A65" t="str">
        <f>'Translate&amp;Prices&amp;Logo'!$B$73</f>
        <v>ROMA czarna matowa -  maksymalna zalecana długość profilu 2696 mm</v>
      </c>
      <c r="B65">
        <v>1</v>
      </c>
      <c r="C65" t="s">
        <v>651</v>
      </c>
      <c r="D65">
        <v>0</v>
      </c>
      <c r="ED65" t="s">
        <v>1682</v>
      </c>
      <c r="EE65" t="s">
        <v>3183</v>
      </c>
      <c r="EF65">
        <f>LEN(EE65)</f>
        <v>71</v>
      </c>
      <c r="ER65" t="s">
        <v>2245</v>
      </c>
      <c r="ES65" t="s">
        <v>2233</v>
      </c>
    </row>
    <row r="66" spans="1:149">
      <c r="A66" t="str">
        <f>'Translate&amp;Prices&amp;Logo'!$B$74</f>
        <v>ROMA champagne mat - maksymalna zalecana długość profilu 2696 mm</v>
      </c>
      <c r="B66">
        <v>1</v>
      </c>
      <c r="C66" t="s">
        <v>651</v>
      </c>
      <c r="D66">
        <v>0</v>
      </c>
      <c r="ED66" t="s">
        <v>1683</v>
      </c>
      <c r="EE66" t="s">
        <v>3186</v>
      </c>
      <c r="ER66" t="s">
        <v>2246</v>
      </c>
      <c r="ES66" t="s">
        <v>2234</v>
      </c>
    </row>
    <row r="67" spans="1:149">
      <c r="A67" t="str">
        <f>'Translate&amp;Prices&amp;Logo'!$B$75</f>
        <v>ROMA GRIP czarna matowa - maksymalna zalecana długość profilu 2696 mm</v>
      </c>
      <c r="B67">
        <v>1</v>
      </c>
      <c r="C67" t="s">
        <v>651</v>
      </c>
      <c r="D67">
        <v>0</v>
      </c>
      <c r="Q67" t="str">
        <f>'Translate&amp;Prices&amp;Logo'!$B$71</f>
        <v>BRW champagne - maksymalna zalecana długość profilu 2500 mm</v>
      </c>
      <c r="ED67" t="s">
        <v>1684</v>
      </c>
      <c r="EE67" t="s">
        <v>3188</v>
      </c>
      <c r="ER67" t="s">
        <v>2247</v>
      </c>
      <c r="ES67" t="s">
        <v>2235</v>
      </c>
    </row>
    <row r="68" spans="1:149">
      <c r="A68" t="str">
        <f>'Translate&amp;Prices&amp;Logo'!$B$76</f>
        <v>ROMA GRIP champagne mat - maksymalna zalecana długość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6FD3B6BF-88E6-4E0D-BF41-0E4BC72696E3}">
            <xm:f>OR(Ram_2!$AU$10=1,Ram_2!$AU$10=3)</xm:f>
            <x14:dxf>
              <fill>
                <patternFill patternType="darkDown"/>
              </fill>
            </x14:dxf>
          </x14:cfRule>
          <xm:sqref>CH13</xm:sqref>
        </x14:conditionalFormatting>
        <x14:conditionalFormatting xmlns:xm="http://schemas.microsoft.com/office/excel/2006/main">
          <x14:cfRule type="expression" priority="2" id="{2AD622F7-FD42-40C9-B7A6-5DDA0636E172}">
            <xm:f>OR(Ram_2!$AU$10=2,Ram_2!$AU$10=3)</xm:f>
            <x14:dxf>
              <fill>
                <patternFill patternType="darkDown"/>
              </fill>
            </x14:dxf>
          </x14:cfRule>
          <xm:sqref>CH14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F04E-EC01-41F9-9847-8FCE634B3F1A}">
  <sheetPr codeName="List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8.855468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"&amp;3</f>
        <v>Ramka  3</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Wprowadzenie</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IFERROR(IF(kombinace_3!FC2=TRUE,'Translate&amp;Prices&amp;Logo'!B656,IF(VLOOKUP(H8,kombinace_3!$A:$E,5,0)=3,'Translate&amp;Prices&amp;Logo'!B644,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Ramka  1</v>
      </c>
      <c r="C5" s="594"/>
      <c r="D5" s="594"/>
      <c r="E5" s="106"/>
      <c r="F5" s="594" t="str">
        <f>'Translate&amp;Prices&amp;Logo'!$B$171&amp;" "&amp;" "&amp;2</f>
        <v>Ramka  2</v>
      </c>
      <c r="G5" s="594"/>
      <c r="H5" s="594"/>
      <c r="I5" s="9"/>
      <c r="J5" s="593" t="str">
        <f>'Translate&amp;Prices&amp;Logo'!$B$171&amp;" "&amp;" "&amp;3</f>
        <v>Ramka  3</v>
      </c>
      <c r="K5" s="593"/>
      <c r="L5" s="593"/>
      <c r="M5" s="9"/>
      <c r="N5" s="594" t="str">
        <f>'Translate&amp;Prices&amp;Logo'!$B$171&amp;" "&amp;" "&amp;4</f>
        <v>Ramka  4</v>
      </c>
      <c r="O5" s="594"/>
      <c r="P5" s="594"/>
      <c r="Q5" s="9"/>
      <c r="R5" s="594" t="str">
        <f>'Translate&amp;Prices&amp;Logo'!$B$171&amp;" "&amp;" "&amp;5</f>
        <v>Ramka  5</v>
      </c>
      <c r="S5" s="594"/>
      <c r="T5" s="594"/>
      <c r="U5" s="9"/>
      <c r="V5" s="594" t="str">
        <f>'Translate&amp;Prices&amp;Logo'!$B$171&amp;" "&amp;" "&amp;6</f>
        <v>Ramka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Połączenie 2 profili</v>
      </c>
      <c r="C7" s="598"/>
      <c r="D7" s="598"/>
      <c r="E7" s="598"/>
      <c r="F7" s="598"/>
      <c r="G7" s="635" t="str">
        <f>IF(kombinace_3!FC2=TRUE,AB4,"")</f>
        <v/>
      </c>
      <c r="H7" s="635"/>
      <c r="I7" s="635"/>
      <c r="J7" s="635"/>
      <c r="K7" s="635"/>
      <c r="L7" s="635"/>
      <c r="M7" s="635"/>
      <c r="N7" s="635"/>
      <c r="O7" s="635"/>
      <c r="P7" s="635"/>
      <c r="Q7" s="636"/>
      <c r="R7" s="224"/>
      <c r="S7" s="602" t="str">
        <f>'Translate&amp;Prices&amp;Logo'!$B$574</f>
        <v>Ważne informacje: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VLOOKUP(H8,kombinace_3!$A3:$B100,2,0)</f>
        <v>#N/A</v>
      </c>
      <c r="AV7" s="140" t="e">
        <f>IF(AU7=2,"Široký",IF(AU7=1,"Úzký",IF(AU7=3,"kombo")))</f>
        <v>#N/A</v>
      </c>
    </row>
    <row r="8" spans="1:65" ht="45.6" customHeight="1">
      <c r="A8" s="61"/>
      <c r="B8" s="216" t="str">
        <f>'Translate&amp;Prices&amp;Logo'!$B$655</f>
        <v>Wypełnienie z siatki</v>
      </c>
      <c r="C8" s="217"/>
      <c r="D8" s="217"/>
      <c r="E8" s="218" t="str">
        <f>'Translate&amp;Prices&amp;Logo'!$B$174</f>
        <v>Rodzaj profilu</v>
      </c>
      <c r="F8" s="218"/>
      <c r="G8" s="223"/>
      <c r="H8" s="603"/>
      <c r="I8" s="603"/>
      <c r="J8" s="603"/>
      <c r="K8" s="603"/>
      <c r="L8" s="603"/>
      <c r="M8" s="603"/>
      <c r="N8" s="603"/>
      <c r="O8" s="603"/>
      <c r="P8" s="603"/>
      <c r="Q8" s="604"/>
      <c r="R8" s="225"/>
      <c r="S8" s="617" t="str">
        <f>IF(AU10&gt;0,'Translate&amp;Prices&amp;Logo'!B305,IF(OR(H8=kombinace_3!A64,H8=kombinace_3!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Odległość od lewej krawędzi</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IFERROR(IF(AND(VLOOKUP(H8,kombinace_3!$A:$D,4,0)=1,kombinace_3!FC2=FALSE),'Translate&amp;Prices&amp;Logo'!$B$545,0),0)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Rozstaw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IFERROR((VLOOKUP(H12,kombinace_3!$DP$2:$DQ$3,2,0)),"")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Odległość od górnej krawędzi</v>
      </c>
      <c r="AF10" s="9"/>
      <c r="AG10" s="9"/>
      <c r="AH10" s="9"/>
      <c r="AI10" s="60"/>
      <c r="AJ10" s="61"/>
      <c r="AK10" s="9"/>
      <c r="AL10" s="9"/>
      <c r="AM10" s="9"/>
      <c r="AN10" s="9"/>
      <c r="AO10" s="9"/>
      <c r="AP10" s="77"/>
      <c r="AQ10" s="307"/>
      <c r="AR10" s="9"/>
      <c r="AS10" s="9"/>
      <c r="AT10" s="139" t="s">
        <v>1196</v>
      </c>
      <c r="AU10" s="140">
        <f>IFERROR(VLOOKUP(H9,kombinace_3!$BY$13:$BZ$15,2,0),0)</f>
        <v>0</v>
      </c>
      <c r="AV10" s="140"/>
    </row>
    <row r="11" spans="1:65" ht="18" customHeight="1">
      <c r="A11" s="61"/>
      <c r="B11" s="631" t="str">
        <f>('Translate&amp;Prices&amp;Logo'!$B$545)&amp;" "&amp;"("&amp;'Translate&amp;Prices&amp;Logo'!$B$176&amp;")"</f>
        <v>Szprosy (Ilość sztuk)</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IFERROR(IF(kombinace_3!$H$1=TRUE,BA2+AY3,0),0)</f>
        <v>0</v>
      </c>
      <c r="AU11" s="146"/>
      <c r="AV11" s="140"/>
    </row>
    <row r="12" spans="1:65" ht="18" customHeight="1">
      <c r="A12" s="61"/>
      <c r="B12" s="608" t="str">
        <f>'Translate&amp;Prices&amp;Logo'!$B$260</f>
        <v>Typ okucia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Marka okucia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Rozstaw  mm</v>
      </c>
      <c r="AE14" s="647"/>
      <c r="AF14" s="9"/>
      <c r="AG14" s="9"/>
      <c r="AH14" s="9"/>
      <c r="AI14" s="60"/>
      <c r="AJ14" s="61"/>
      <c r="AK14" s="9"/>
      <c r="AL14" s="9"/>
      <c r="AM14" s="645" t="str">
        <f>('Translate&amp;Prices&amp;Logo'!$B$550)&amp;" "&amp;H26&amp;" "&amp;"mm"</f>
        <v>Rozstaw  mm</v>
      </c>
      <c r="AN14" s="9"/>
      <c r="AO14" s="81"/>
      <c r="AP14" s="74"/>
      <c r="AQ14" s="307"/>
      <c r="AR14" s="585"/>
      <c r="AS14" s="9"/>
      <c r="AT14" s="146"/>
      <c r="AU14" s="140"/>
      <c r="AV14" s="140"/>
      <c r="AW14" s="165" t="s">
        <v>2197</v>
      </c>
    </row>
    <row r="15" spans="1:65" ht="18" customHeight="1" thickBot="1">
      <c r="A15" s="61"/>
      <c r="B15" s="608" t="str">
        <f>'Translate&amp;Prices&amp;Logo'!$B$547</f>
        <v>Wariant okucia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IF(H15=kombinace_3!AB40,'Translate&amp;Prices&amp;Logo'!$B$226,IF(H15=kombinace_3!AB41,'Translate&amp;Prices&amp;Logo'!$B$226,IF(H12='závěsy dle výklopu'!BQ2,'Translate&amp;Prices&amp;Logo'!$B$224,'Translate&amp;Prices&amp;Logo'!$B$220)))</f>
        <v>Wybierz pozycję ramki</v>
      </c>
      <c r="C16" s="630"/>
      <c r="D16" s="630"/>
      <c r="E16" s="630"/>
      <c r="F16" s="628"/>
      <c r="G16" s="628"/>
      <c r="H16" s="628"/>
      <c r="I16" s="628"/>
      <c r="J16" s="624" t="str">
        <f>IF(OR(H15=kombinace_3!AB40,H15=kombinace_3!AB7,H15=kombinace_3!AB15,H15=kombinace_3!AB20,H15=kombinace_3!AB21,H15=kombinace_3!AB22),'Translate&amp;Prices&amp;Logo'!$B$228,IF(H15=kombinace_3!AB41,'Translate&amp;Prices&amp;Logo'!$B$228,'Translate&amp;Prices&amp;Logo'!$B$234))</f>
        <v>Rodzaj drugiej ramki</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IF(H12='Translate&amp;Prices&amp;Logo'!B553,'Translate&amp;Prices&amp;Logo'!B240,IF(H15=kombinace_3!AB8,'Translate&amp;Prices&amp;Logo'!B286,0))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IF(H13="Salice",VLOOKUP(H17,kombinace_3!$BY:$BZ,2,0),0)</f>
        <v>0</v>
      </c>
    </row>
    <row r="18" spans="1:52" ht="18" customHeight="1">
      <c r="A18" s="61"/>
      <c r="B18" s="608">
        <f>IFERROR(IF(VLOOKUP(H15,kombinace_3!CD:CE,2,0)=1,'Translate&amp;Prices&amp;Logo'!$B$549,0),0)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IFERROR(IF(H12='Translate&amp;Prices&amp;Logo'!B553,'Translate&amp;Prices&amp;Logo'!$B$225,IF(VLOOKUP(H15,kombinace_3!CD:CE,2,0)=1,'Translate&amp;Prices&amp;Logo'!$B$225,)),0)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Odległość od dolnej krawędzi</v>
      </c>
      <c r="AM19" s="645"/>
      <c r="AN19" s="584">
        <v>0</v>
      </c>
      <c r="AO19" s="584"/>
      <c r="AP19" s="76"/>
      <c r="AQ19" s="307"/>
      <c r="AR19" s="583" t="str">
        <f>'Translate&amp;Prices&amp;Logo'!$B$178</f>
        <v>Wysokość</v>
      </c>
      <c r="AS19" s="9"/>
      <c r="AT19" s="146"/>
      <c r="AU19" s="138">
        <f>IFERROR(IF(H12='závěsy dle výklopu'!BR2,VLOOKUP(H15,kombinace_3!$CD$3:$CF$18,3,0),IF(H12='závěsy dle výklopu'!BQ2,1,0)),0)</f>
        <v>0</v>
      </c>
      <c r="AV19" s="140">
        <f>IFERROR(VLOOKUP(H15,kombinace_3!$CD:$CF,3,0),0)</f>
        <v>0</v>
      </c>
    </row>
    <row r="20" spans="1:52" ht="18" customHeight="1">
      <c r="A20" s="61"/>
      <c r="B20" s="633">
        <f>IF(H13&lt;&gt;"Salice",(IFERROR(VLOOKUP(H17,kombinace_3!$BY$32:$CA$35,2,0),0)),0)</f>
        <v>0</v>
      </c>
      <c r="C20" s="634"/>
      <c r="D20" s="634"/>
      <c r="E20" s="634"/>
      <c r="F20" s="620">
        <v>100</v>
      </c>
      <c r="G20" s="620"/>
      <c r="H20" s="620"/>
      <c r="I20" s="620"/>
      <c r="J20" s="634">
        <f>IFERROR(VLOOKUP(H17,kombinace_3!$BY$32:$CA$35,3,0),0)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IF(kombinace_3!FC2=FALSE,'Translate&amp;Prices&amp;Logo'!$B$175," ")</f>
        <v>Rodzaj szkła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Nie zmieniaj po wybraniu rodzaj szkła/siatka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VLOOKUP(H17,kombinace_3!$BY$3:$BZ$6,2,0)</f>
        <v>#N/A</v>
      </c>
      <c r="AV23" s="140"/>
    </row>
    <row r="24" spans="1:52" ht="18" customHeight="1">
      <c r="A24" s="61"/>
      <c r="B24" s="669" t="str">
        <f>'Translate&amp;Prices&amp;Logo'!$B$564</f>
        <v>Rodzaj folii</v>
      </c>
      <c r="C24" s="670"/>
      <c r="D24" s="670"/>
      <c r="E24" s="670"/>
      <c r="F24" s="670"/>
      <c r="G24" s="98"/>
      <c r="H24" s="590"/>
      <c r="I24" s="590"/>
      <c r="J24" s="590"/>
      <c r="K24" s="590"/>
      <c r="L24" s="590"/>
      <c r="M24" s="590"/>
      <c r="N24" s="590"/>
      <c r="O24" s="590"/>
      <c r="P24" s="590"/>
      <c r="Q24" s="607"/>
      <c r="R24" s="61"/>
      <c r="S24" s="602" t="str">
        <f>'Translate&amp;Prices&amp;Logo'!$B$179</f>
        <v>Uwagi (notatki)</v>
      </c>
      <c r="T24" s="602"/>
      <c r="U24" s="602"/>
      <c r="Z24" s="80"/>
      <c r="AA24" s="78"/>
      <c r="AB24" s="79"/>
      <c r="AC24" s="600" t="str">
        <f>'Translate&amp;Prices&amp;Logo'!$B$244</f>
        <v>Odległość od lewej krawędzi</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Rodzaj szkła/siatka</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Rozstaw  mm</v>
      </c>
      <c r="AG25" s="599"/>
      <c r="AH25" s="599"/>
      <c r="AI25" s="599"/>
      <c r="AJ25" s="599"/>
      <c r="AK25" s="599"/>
      <c r="AL25" s="644"/>
      <c r="AM25" s="601"/>
      <c r="AN25" s="9"/>
      <c r="AO25" s="80"/>
      <c r="AP25" s="83"/>
      <c r="AQ25" s="307"/>
      <c r="AR25" s="9"/>
      <c r="AS25" s="9"/>
      <c r="AT25" s="146"/>
      <c r="AU25" s="140" t="e">
        <f>VLOOKUP(H27,kombinace_3!$BY3:$BZ6,2,0)</f>
        <v>#N/A</v>
      </c>
      <c r="AV25" s="140"/>
    </row>
    <row r="26" spans="1:52" ht="18" customHeight="1">
      <c r="A26" s="61"/>
      <c r="B26" s="608" t="str">
        <f>'Translate&amp;Prices&amp;Logo'!$B$551</f>
        <v>Rozstaw uchwytu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Umieszczenie uchwytu</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Ilość sztuk</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VLOOKUP(H14,kombinace_3!$DN$7:$DO$24,2,0)</f>
        <v>#N/A</v>
      </c>
      <c r="AB29" s="643">
        <f>IF(kombinace_3!FC2=TRUE,AB4,IF(H12='závěsy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ramek</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zl</v>
      </c>
      <c r="Q30" s="659"/>
      <c r="R30" s="61"/>
      <c r="S30" s="652"/>
      <c r="T30" s="653"/>
      <c r="U30" s="653"/>
      <c r="V30" s="653"/>
      <c r="W30" s="653"/>
      <c r="X30" s="653"/>
      <c r="Y30" s="654"/>
      <c r="Z30" s="9"/>
      <c r="AA30" s="9"/>
      <c r="AB30" s="61"/>
      <c r="AC30" s="9"/>
      <c r="AD30" s="9"/>
      <c r="AE30" s="9"/>
      <c r="AF30" s="642" t="str">
        <f>'Translate&amp;Prices&amp;Logo'!$B$177</f>
        <v>Szerokość</v>
      </c>
      <c r="AG30" s="642"/>
      <c r="AH30" s="642"/>
      <c r="AI30" s="637"/>
      <c r="AJ30" s="637"/>
      <c r="AK30" s="637"/>
      <c r="AL30" s="9"/>
      <c r="AM30" s="9"/>
      <c r="AN30" s="9"/>
      <c r="AO30" s="9"/>
      <c r="AP30" s="9"/>
      <c r="AQ30" s="9"/>
      <c r="AR30" s="9"/>
      <c r="AS30" s="9"/>
      <c r="AT30" s="146"/>
      <c r="AU30" s="138" t="e">
        <f>HLOOKUP("_Úzký_dolny_K12",kombinace_3!CV2:CW19,3,FALSE)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Podsumowanie</v>
      </c>
      <c r="AP31" s="512"/>
      <c r="AQ31" s="512"/>
      <c r="AR31" s="512"/>
      <c r="AS31" s="9"/>
      <c r="AT31" s="146"/>
      <c r="AU31" s="138" t="e">
        <f>AD44</f>
        <v>#N/A</v>
      </c>
    </row>
    <row r="32" spans="1:52" ht="17.25" customHeight="1">
      <c r="A32" s="61"/>
      <c r="B32" s="625" t="str">
        <f>'Translate&amp;Prices&amp;Logo'!$B$173</f>
        <v>Podane ceny nie zawierają podatku VAT ani nie zawierają ceny okuć!</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Ramki aluminiowe bez szkła dostarczane są w stanie rozmontowanym.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IF(kombinace_3!V1=2,((AR14/1000)*(AI30/1000))*'Translate&amp;Prices&amp;Logo'!C96,0)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IF(kombinace_3!$V$1=3,IFERROR(((VLOOKUP(H24,'Translate&amp;Prices&amp;Logo'!B93:C95,2,0))*(AR14/1000)),0),0)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IF(kombinace_3!FC2=TRUE,_profily_síťka,IF(kombinace_3!H1=TRUE,_kombinovane_profily,_vše_profily))</f>
        <v>BRW (elox.) - maksymalna zalecana długość profilu 2500 mm</v>
      </c>
      <c r="L36" s="157" t="str">
        <f t="array" ref="L36:M36">IF(kombinace_3!H1=TRUE,'závěsy dle výklopu'!$BQ$2:$BR$2,
IF(H8=kombinace_3!A41,'závěsy dle výklopu'!$BQ$2,IF(H8=kombinace_3!A42,'závěsy dle výklopu'!$BQ$2,IF(H8=kombinace_3!A65,'závěsy dle výklopu'!$BQ$2,IF(H8=kombinace_3!A66,'závěsy dle výklopu'!$BQ$2,IF(H8=kombinace_3!A67,'závěsy dle výklopu'!$BQ$2,IF(H8=kombinace_3!A68,'závěsy dle výklopu'!$BQ$2,IF(OR(H8='Translate&amp;Prices&amp;Logo'!B66,H8='Translate&amp;Prices&amp;Logo'!B67,H8='Translate&amp;Prices&amp;Logo'!B68,H8='Translate&amp;Prices&amp;Logo'!B69,H8='Translate&amp;Prices&amp;Logo'!B70),"",'závěsy dle výklopu'!$BQ$2:$BR$2))))))))</f>
        <v>Zawiasy</v>
      </c>
      <c r="M36" s="157" t="str">
        <v>Podnośniki</v>
      </c>
      <c r="P36" s="157" t="str" cm="1">
        <f t="array" ref="P36:P38">IF(H13=kombinace_3!BQ11,kombinace_3!$DN$2,kombinace_3!$DN$2:$DN$4)</f>
        <v>Nakładany</v>
      </c>
      <c r="T36" s="157">
        <f t="array" aca="1" ref="T36:T44" ca="1">IF(H13=kombinace_3!BQ11,
  kombinace_3!$FA$2:$FA$9,
  IF(AND(OR(H8=kombinace_3!A36,H8=kombinace_3!A37),H13='závěsy dle výklopu'!BQ4),
    INDIRECT(VLOOKUP(AD42&amp;"_Rocca",kombinace_3!$ER$1:$ES$108,2,0)),
    IF($AU$9=2,
      INDIRECT(VLOOKUP(AD42,kombinace_3!$ER$1:$ES$108,2,0)),
      IF($AU$9=3,
        INDIRECT(VLOOKUP($T$47,kombinace_3!$AA$1:$AB$100,2,0)),
      $Y$48)
    )
  )
)</f>
        <v>0</v>
      </c>
      <c r="AF36" s="157" t="e">
        <f>HLOOKUP($AD$44,'závěsy dle výklopu'!$CG$4:$EZ$10,2,0)</f>
        <v>#N/A</v>
      </c>
      <c r="AJ36" s="157">
        <f t="array" ref="AJ36:AJ40">IF(AM19&lt;2100,kombinace_3!BY8:BY12,kombinace_3!BY8:BY12)</f>
        <v>2</v>
      </c>
      <c r="AW36" s="248"/>
      <c r="AX36" s="248"/>
      <c r="AY36" s="248"/>
    </row>
    <row r="37" spans="1:58" s="157" customFormat="1" ht="15" hidden="1" customHeight="1">
      <c r="A37" s="140"/>
      <c r="B37" s="157" t="str">
        <v>BRW bialy matowy RAL 9003 - maksymalna zalecana długość profilu 2500 mm</v>
      </c>
      <c r="P37" s="157" t="e">
        <v>#N/A</v>
      </c>
      <c r="T37" s="157">
        <f ca="1"/>
        <v>0</v>
      </c>
      <c r="W37" s="157" t="str" cm="1">
        <f t="array" ref="W37">IF(Hlavní!$V$39=3,"",'Translate&amp;Prices&amp;Logo'!B558:B559)</f>
        <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bialy połysk RAL 9003 - maksymalna zalecana długość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szczotkowany - maksymalna zalecana długość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Czarny matowy - maksymalna zalecana długość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czarna szczotka - maksymalna zalecana długość profilu 2500 mm</v>
      </c>
      <c r="L41" s="157" t="str">
        <v xml:space="preserve">Kesseböhmer </v>
      </c>
      <c r="T41" s="157">
        <f ca="1"/>
        <v>0</v>
      </c>
      <c r="U41" s="157">
        <f>IF(Hlavní!$V$39=3,1,2)</f>
        <v>1</v>
      </c>
      <c r="AE41" s="157">
        <f>AF41</f>
        <v>0</v>
      </c>
      <c r="AH41" s="274"/>
      <c r="AI41" s="275" t="s">
        <v>3460</v>
      </c>
      <c r="AJ41" s="275" t="s">
        <v>3461</v>
      </c>
      <c r="AS41" s="157" t="s">
        <v>1198</v>
      </c>
      <c r="AW41" s="248"/>
      <c r="AX41" s="248"/>
      <c r="AY41" s="248"/>
    </row>
    <row r="42" spans="1:58" s="157" customFormat="1" ht="18.600000000000001" hidden="1" customHeight="1">
      <c r="A42" s="140"/>
      <c r="B42" s="157" t="str">
        <v>BRW INOX ACIER gratta - maksymalna zalecana długość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antracyt RAL 7021 - maksymalna zalecana długość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3!FC2=TRUE,500,AJ43))),"")</f>
        <v/>
      </c>
      <c r="AJ43" s="277" t="str">
        <f>IFERROR((IF(kombinace_3!FC2=TRUE,1000,VLOOKUP(H8,'Translate&amp;Prices&amp;Logo'!B6:U84,20,0))),"")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maksymalna zalecana długość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maksymalna zalecana długość profilu 2500 mm</v>
      </c>
      <c r="M45" s="157" t="s">
        <v>2496</v>
      </c>
      <c r="N45" s="157" t="s">
        <v>1039</v>
      </c>
      <c r="AS45" s="133"/>
      <c r="AW45" s="248"/>
      <c r="AX45" s="248"/>
      <c r="AY45" s="248"/>
    </row>
    <row r="46" spans="1:58" s="157" customFormat="1" ht="14.85" hidden="1" customHeight="1">
      <c r="A46" s="140"/>
      <c r="B46" s="157" t="str">
        <v>BRW brąz - maksymalna zalecana długość profilu 2500 mm</v>
      </c>
      <c r="M46" s="157" t="s">
        <v>4254</v>
      </c>
    </row>
    <row r="47" spans="1:58" s="157" customFormat="1" ht="14.85" hidden="1" customHeight="1">
      <c r="A47" s="140"/>
      <c r="B47" s="157" t="str">
        <v>BRW INOX LIJA - maksymalna zalecana długość profilu 2500 mm</v>
      </c>
      <c r="M47" s="157" t="s">
        <v>4255</v>
      </c>
      <c r="T47" s="157" t="str">
        <f>CONCATENATE(H13,"_",VLOOKUP(kombinace_3!H1,kombinace_3!$J$14:$K$15,2,0))</f>
        <v>_2</v>
      </c>
      <c r="AD47" s="157" t="s">
        <v>4253</v>
      </c>
      <c r="AI47" s="112"/>
      <c r="AJ47" s="270"/>
      <c r="AN47" s="581"/>
      <c r="AO47" s="581"/>
      <c r="AP47" s="581"/>
      <c r="AQ47" s="581"/>
    </row>
    <row r="48" spans="1:58" s="157" customFormat="1" ht="14.85" hidden="1" customHeight="1">
      <c r="A48" s="140"/>
      <c r="B48" s="157" t="str">
        <v>BRW kaszmirowy - maksymalna zalecana długość profilu 2500 mm</v>
      </c>
      <c r="T48" s="157" t="e">
        <f>VLOOKUP(AD42,kombinace_3!ER1:ES120,2,0)</f>
        <v>#N/A</v>
      </c>
      <c r="AS48"/>
      <c r="AT48"/>
    </row>
    <row r="49" spans="1:46" s="157" customFormat="1" ht="14.85" hidden="1" customHeight="1">
      <c r="A49" s="140"/>
      <c r="B49" s="157" t="str">
        <v>BRW złota- maksymalna zalecana długość profilu 2500 mm</v>
      </c>
      <c r="AS49"/>
      <c r="AT49"/>
    </row>
    <row r="50" spans="1:46" s="157" customFormat="1" ht="14.85" hidden="1" customHeight="1">
      <c r="A50" s="140"/>
      <c r="B50" s="157" t="str">
        <v>BRW złota szczotkowany - maksymalna zalecana zalecana długość profilu 2500 mm</v>
      </c>
      <c r="AS50"/>
      <c r="AT50"/>
    </row>
    <row r="51" spans="1:46" s="157" customFormat="1" ht="14.85" hidden="1" customHeight="1">
      <c r="A51" s="140"/>
      <c r="B51" s="157" t="str">
        <v>Corleone (elox.)- maksymalna zalecana długość profilu 1500 mm</v>
      </c>
      <c r="AS51"/>
      <c r="AT51"/>
    </row>
    <row r="52" spans="1:46" s="157" customFormat="1" ht="14.85" hidden="1" customHeight="1">
      <c r="A52" s="140"/>
      <c r="B52" s="157" t="str">
        <v>Corleone czarny matowy - maksymalna zalecana długość profilu 1500 mm</v>
      </c>
      <c r="AS52"/>
      <c r="AT52"/>
    </row>
    <row r="53" spans="1:46" s="157" customFormat="1" ht="14.85" hidden="1" customHeight="1">
      <c r="A53" s="140"/>
      <c r="B53" s="157" t="str">
        <v>ASTI  czarne  - maksymalna zalecana długość profilu 2150</v>
      </c>
      <c r="AS53"/>
      <c r="AT53"/>
    </row>
    <row r="54" spans="1:46" s="157" customFormat="1" ht="14.85" hidden="1" customHeight="1">
      <c r="A54" s="140"/>
      <c r="B54" s="157" t="str">
        <v>ASTI  antracyt mat RAL 7021 mat lakier - maksymalna zalecana długość profilu 2500 mm</v>
      </c>
      <c r="K54" s="157" t="str">
        <f t="array" ref="K54:K58">IF(OR($H$15=kombinace_3!AB40,$H$15=kombinace_3!AB7,$H$15=kombinace_3!AB15,$H$15=kombinace_3!AB20,$H$15=kombinace_3!AB21,$H$15=kombinace_3!AB22),'Translate&amp;Prices&amp;Logo'!$B$231:$B$233,IF($H$15=kombinace_3!AB41,'Translate&amp;Prices&amp;Logo'!$B$231:$B$233,'Translate&amp;Prices&amp;Logo'!$B$235:$B$239))</f>
        <v>Wąska ALU ramka</v>
      </c>
      <c r="T54" s="157" t="str">
        <f t="array" ref="T54:T56">kombinace_3!$EN$3:$EN$5</f>
        <v>Bez modyfikacji</v>
      </c>
      <c r="U54" s="157">
        <v>1</v>
      </c>
      <c r="X54" s="157" t="str">
        <f t="array" ref="X54:X56">kombinace_3!$X$3:$X$5</f>
        <v>transparentna</v>
      </c>
      <c r="AD54" s="157" t="e" cm="1">
        <f t="array" aca="1" ref="AD54" ca="1">IF(kombinace_3!FC2=FALSE,
INDIRECT(kombinace_3!S1),
IF(kombinace_3!FC2=TRUE,INDIRECT(VLOOKUP(Ram_3!H8,'závěsy dle výklopu'!A81:B90,2,0)),0))</f>
        <v>#N/A</v>
      </c>
      <c r="AS54"/>
      <c r="AT54"/>
    </row>
    <row r="55" spans="1:46" s="157" customFormat="1" ht="14.85" hidden="1" customHeight="1">
      <c r="A55" s="140"/>
      <c r="B55" s="157" t="str">
        <v>Imola (elox.) - maksymalna zalecana długość profilu 2500 mm</v>
      </c>
      <c r="K55" s="157" t="str">
        <v>Szeroka ALU ramka</v>
      </c>
      <c r="T55" s="157" t="str">
        <v>Hartowane (termin dostawy 4 tygodnie)</v>
      </c>
      <c r="U55" s="157">
        <v>2</v>
      </c>
      <c r="X55" s="157" t="str">
        <v>Biała</v>
      </c>
      <c r="AS55"/>
      <c r="AT55"/>
    </row>
    <row r="56" spans="1:46" s="157" customFormat="1" ht="14.85" hidden="1" customHeight="1">
      <c r="A56" s="140"/>
      <c r="B56" s="157" t="str">
        <v>Imola Czarny matowy - maksymalna zalecana długość profilu 2500 mm</v>
      </c>
      <c r="K56" s="157" t="str">
        <v>MDF grubość 16mm</v>
      </c>
      <c r="T56" s="157" t="str">
        <v>Folia</v>
      </c>
      <c r="U56" s="157">
        <v>3</v>
      </c>
      <c r="X56" s="157" t="str">
        <v>czarna</v>
      </c>
    </row>
    <row r="57" spans="1:46" s="157" customFormat="1" ht="14.85" hidden="1" customHeight="1">
      <c r="A57" s="140"/>
      <c r="B57" s="157" t="str">
        <v>Imola bialy matowy RAL 9003 - maksymalna zalecana długość profilu 2500 mm</v>
      </c>
      <c r="K57" s="157" t="str">
        <v>MDF grubość 18mm</v>
      </c>
    </row>
    <row r="58" spans="1:46" s="157" customFormat="1" ht="14.85" hidden="1" customHeight="1">
      <c r="A58" s="140"/>
      <c r="B58" s="157" t="str">
        <v>Imola złota - maksymalna zalecana zalecana długość profilu 2150 mm</v>
      </c>
      <c r="K58" s="157" t="str">
        <v>Płyta melaminowana grubość 18mm</v>
      </c>
    </row>
    <row r="59" spans="1:46" s="157" customFormat="1" ht="14.85" hidden="1" customHeight="1">
      <c r="A59" s="140"/>
      <c r="B59" s="157" t="str">
        <v>Modena (elox.) - maksymalna zalecana długość profilu 2500 mm</v>
      </c>
      <c r="T59" s="157">
        <f>IFERROR(VLOOKUP($H$21,$T$54:$U$56,2,0),0)</f>
        <v>0</v>
      </c>
    </row>
    <row r="60" spans="1:46" s="157" customFormat="1" ht="14.85" hidden="1" customHeight="1">
      <c r="A60" s="140"/>
      <c r="B60" s="157" t="str">
        <v>Modena Czarny matowy - maksymalna zalecana długość profilu 2500 mm</v>
      </c>
      <c r="K60" s="157" t="b">
        <f>K56=K61</f>
        <v>0</v>
      </c>
    </row>
    <row r="61" spans="1:46" s="157" customFormat="1" ht="14.85" hidden="1" customHeight="1">
      <c r="A61" s="140"/>
      <c r="B61" s="157" t="str">
        <v>Modena czarna szczotka - maksymalna zalecana długość profilu 2500 mm</v>
      </c>
      <c r="H61" s="157" t="str">
        <f>'Translate&amp;Prices&amp;Logo'!$B$188</f>
        <v>Dolne drzwi</v>
      </c>
      <c r="K61" s="157" t="str">
        <f>'Translate&amp;Prices&amp;Logo'!$B$233</f>
        <v>2 sztuki (obydwie strony)</v>
      </c>
    </row>
    <row r="62" spans="1:46" s="157" customFormat="1" ht="14.85" hidden="1" customHeight="1">
      <c r="A62" s="140"/>
      <c r="B62" s="157" t="str">
        <v>Modena INOX LIJA - maksymalna zalecana długość profilu 2500 mm</v>
      </c>
    </row>
    <row r="63" spans="1:46" s="157" customFormat="1" ht="14.85" hidden="1" customHeight="1">
      <c r="A63" s="140"/>
      <c r="B63" s="157" t="str">
        <v>Modena brąz - maksymalna zalecana długość profilu 2500 mm</v>
      </c>
    </row>
    <row r="64" spans="1:46" s="157" customFormat="1" ht="14.85" hidden="1" customHeight="1">
      <c r="A64" s="140"/>
      <c r="B64" s="157" t="str">
        <v>Pisa (elox.) - maksymalna zalecana długość profilu 2500 mm</v>
      </c>
    </row>
    <row r="65" spans="1:15" s="157" customFormat="1" ht="14.85" hidden="1" customHeight="1">
      <c r="A65" s="140"/>
      <c r="B65" s="157" t="str">
        <v>Pisa biały matowy RAL 9003 - maksymalna zalecana zalecana długość profilu 2500 mm</v>
      </c>
      <c r="H65" s="33" t="str">
        <f>'rozpad závěsů bez prázdn. řádků'!$K$1</f>
        <v>krzyżakowy, wkręt</v>
      </c>
      <c r="I65" s="159">
        <v>6</v>
      </c>
      <c r="J65" s="32" t="e">
        <f>VLOOKUP($H$15,'rozpad závěsů bez prázdn. řádků'!$G$2:$X$66,I65,0)</f>
        <v>#N/A</v>
      </c>
      <c r="O65" s="157" t="str" cm="1">
        <f t="array" ref="O65:O66">IF($H$15=kombinace_3!$AB$40,_strong_vzpera_horni,IF($H$15=kombinace_3!$AB$41,_stronglift_klopna,IF($H$12='závěsy dle výklopu'!$BQ$2,$J$65:$J$71,'Translate&amp;Prices&amp;Logo'!$B$187:$B$188)))</f>
        <v>Górne drzwi</v>
      </c>
    </row>
    <row r="66" spans="1:15" s="157" customFormat="1" ht="14.85" hidden="1" customHeight="1">
      <c r="A66" s="140"/>
      <c r="B66" s="157" t="str">
        <v>Pisa biały połysk RAL 9003 - maksymalna zalecana zalecana długość profilu 2500 mm</v>
      </c>
      <c r="H66" s="33" t="str">
        <f>'rozpad závěsů bez prázdn. řádků'!$M$1</f>
        <v>na wkręt (z mimośrodem)</v>
      </c>
      <c r="I66" s="159">
        <v>8</v>
      </c>
      <c r="J66" s="32" t="e">
        <f>VLOOKUP($H$15,'rozpad závěsů bez prázdn. řádků'!$G$2:$X$66,I66,0)</f>
        <v>#N/A</v>
      </c>
      <c r="O66" s="157" t="str">
        <v>Dolne drzwi</v>
      </c>
    </row>
    <row r="67" spans="1:15" s="157" customFormat="1" ht="14.85" hidden="1" customHeight="1">
      <c r="A67" s="140"/>
      <c r="B67" s="157" t="str">
        <v>Pisa Czarny matowy - maksymalna zalecana długość profilu 2500 mm</v>
      </c>
      <c r="H67" s="33" t="str">
        <f>'rozpad závěsů bez prázdn. řádků'!$O$1</f>
        <v>krzyżakowy eurowkręt</v>
      </c>
      <c r="I67" s="159">
        <v>10</v>
      </c>
      <c r="J67" s="32" t="e">
        <f>VLOOKUP($H$15,'rozpad závěsů bez prázdn. řádků'!$G$2:$X$66,I67,0)</f>
        <v>#N/A</v>
      </c>
    </row>
    <row r="68" spans="1:15" s="157" customFormat="1" ht="14.85" hidden="1" customHeight="1">
      <c r="A68" s="140"/>
      <c r="B68" s="157" t="str">
        <v>Pisa złota - maksymalna zalecana długość profilu 2150 mm</v>
      </c>
      <c r="H68" s="33" t="str">
        <f>'rozpad závěsů bez prázdn. řádků'!$Q$1</f>
        <v>krzyżakowy expando</v>
      </c>
      <c r="I68" s="159">
        <v>12</v>
      </c>
      <c r="J68" s="32" t="e">
        <f>VLOOKUP($H$15,'rozpad závěsů bez prázdn. řádků'!$G$2:$X$66,I68,0)</f>
        <v>#N/A</v>
      </c>
    </row>
    <row r="69" spans="1:15" s="157" customFormat="1" ht="14.85" hidden="1" customHeight="1">
      <c r="A69" s="140"/>
      <c r="B69" s="157" t="str">
        <v>Rimini elox naturalna - maksymalna długość profilu 1100 mm</v>
      </c>
      <c r="H69" s="33" t="str">
        <f>'rozpad závěsů bez prázdn. řádků'!$S$1</f>
        <v>prosty wkręt</v>
      </c>
      <c r="I69" s="159">
        <v>14</v>
      </c>
      <c r="J69" s="32" t="e">
        <f>VLOOKUP($H$15,'rozpad závěsů bez prázdn. řádků'!$G$2:$X$66,I69,0)</f>
        <v>#N/A</v>
      </c>
    </row>
    <row r="70" spans="1:15" s="157" customFormat="1" ht="14.85" hidden="1" customHeight="1">
      <c r="A70" s="140"/>
      <c r="B70" s="157" t="str">
        <v>Rimini czarny mat - maksymalna długość profilu 1100 mm</v>
      </c>
      <c r="H70" s="33" t="str">
        <f>'rozpad závěsů bez prázdn. řádků'!$U$1</f>
        <v>prosty eurowkręt</v>
      </c>
      <c r="I70" s="159">
        <v>16</v>
      </c>
      <c r="J70" s="32" t="e">
        <f>VLOOKUP($H$15,'rozpad závěsů bez prázdn. řádků'!$G$2:$X$66,I70,0)</f>
        <v>#N/A</v>
      </c>
    </row>
    <row r="71" spans="1:15" s="157" customFormat="1" ht="14.85" hidden="1" customHeight="1">
      <c r="A71" s="140"/>
      <c r="B71" s="157" t="str">
        <v>Rimini champagne - maksymalna długość profilu 1100 mm</v>
      </c>
      <c r="H71" s="33" t="str">
        <f>'rozpad závěsů bez prázdn. řádků'!$W$1</f>
        <v>prosty expando</v>
      </c>
      <c r="I71" s="159">
        <v>18</v>
      </c>
      <c r="J71" s="32" t="e">
        <f>VLOOKUP($H$15,'rozpad závěsů bez prázdn. řádků'!$G$2:$X$66,I71,0)</f>
        <v>#N/A</v>
      </c>
    </row>
    <row r="72" spans="1:15" s="157" customFormat="1" ht="14.85" hidden="1" customHeight="1">
      <c r="A72" s="140"/>
      <c r="B72" s="157" t="str">
        <v>Rimini zlota - maksymalna długość profilu 1100 mm</v>
      </c>
    </row>
    <row r="73" spans="1:15" s="157" customFormat="1" ht="14.85" hidden="1" customHeight="1">
      <c r="A73" s="140"/>
      <c r="B73" s="157" t="str">
        <v>Rimini zlota szczotkowana - maksymalna długość profilu 1100 mm</v>
      </c>
    </row>
    <row r="74" spans="1:15" s="157" customFormat="1" ht="14.85" hidden="1" customHeight="1">
      <c r="A74" s="140"/>
      <c r="B74" s="157" t="str">
        <v>Rocca (elox.) - maksymalna zalecana zalecana długość profilu 2150 mm</v>
      </c>
    </row>
    <row r="75" spans="1:15" s="157" customFormat="1" ht="14.85" hidden="1" customHeight="1">
      <c r="A75" s="140"/>
      <c r="B75" s="157" t="str">
        <v>Rocca czarny matowy - maksymalna zalecana zalecana długość profilu 2150 mm</v>
      </c>
    </row>
    <row r="76" spans="1:15" s="157" customFormat="1" ht="14.85" hidden="1" customHeight="1">
      <c r="A76" s="140"/>
      <c r="B76" s="157" t="str">
        <v>Treviso czarny matowy - maksymalna zalecana długość profilu 2750 mm</v>
      </c>
    </row>
    <row r="77" spans="1:15" s="157" customFormat="1" ht="14.85" hidden="1" customHeight="1">
      <c r="A77" s="140"/>
      <c r="B77" s="157" t="str">
        <v>Verona (elox.) - maksymalna zalecana zalecana długość profilu 2500 mm</v>
      </c>
    </row>
    <row r="78" spans="1:15" s="157" customFormat="1" ht="14.85" hidden="1" customHeight="1">
      <c r="A78" s="140"/>
      <c r="B78" s="157" t="str">
        <v>Verona szczotkowany - maksymalna zalecana zalecana długość profilu 2500 mm</v>
      </c>
    </row>
    <row r="79" spans="1:15" s="157" customFormat="1" ht="14.85" hidden="1" customHeight="1">
      <c r="A79" s="140"/>
      <c r="B79" s="157" t="str">
        <v>Verona czarny matowy - maksymalna zalecana zalecana długość profilu 2500 mm</v>
      </c>
    </row>
    <row r="80" spans="1:15" s="157" customFormat="1" ht="14.85" hidden="1" customHeight="1">
      <c r="A80" s="140"/>
      <c r="B80" s="157" t="str">
        <v>Verona czarny połysk - maksymalna zalecana zalecana długość profilu 2500 mm</v>
      </c>
    </row>
    <row r="81" spans="1:38" s="157" customFormat="1" ht="14.85" hidden="1" customHeight="1">
      <c r="A81" s="140"/>
      <c r="B81" s="157" t="str">
        <v>Verona braz - maksymalna zalecana zalecana długość profilu 2500 mm</v>
      </c>
    </row>
    <row r="82" spans="1:38" s="157" customFormat="1" ht="14.85" hidden="1" customHeight="1">
      <c r="A82" s="140"/>
      <c r="B82" s="157" t="str">
        <v>Verona szampański - maksymalna zalecana zalecana długość profilu 2500 mm</v>
      </c>
      <c r="P82" s="157" t="str" cm="1">
        <f t="array" ref="P82:P85">IF(OR(H8=kombinace_3!F18,H8=kombinace_3!F19,H8=kombinace_3!A60,H8=kombinace_3!A61,H8=kombinace_3!A62,H8=kombinace_3!A63),_2_strany,IF(H15=kombinace_3!AB8,_ramena_HL,_4_strany))</f>
        <v>W górę</v>
      </c>
    </row>
    <row r="83" spans="1:38" ht="14.85" hidden="1" customHeight="1">
      <c r="B83" s="138" t="str">
        <v>Verona Inox szczotkowany (Inox Lija)- maksymalna zalecana zalecana długość profilu 2500 mm</v>
      </c>
      <c r="C83" s="140"/>
      <c r="D83" s="140"/>
      <c r="E83" s="140"/>
      <c r="F83" s="140"/>
      <c r="G83" s="140"/>
      <c r="H83" s="140"/>
      <c r="I83" s="140"/>
      <c r="J83" s="140"/>
      <c r="K83" s="140"/>
      <c r="L83" s="140"/>
      <c r="M83" s="140"/>
      <c r="N83" s="140"/>
      <c r="O83" s="138"/>
      <c r="P83" s="140" t="str">
        <v>W dół</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Acier Gratta - maksymalna zalecana zalecana długość profilu 2500 mm</v>
      </c>
      <c r="C84" s="140"/>
      <c r="D84" s="140"/>
      <c r="E84" s="140"/>
      <c r="F84" s="140"/>
      <c r="G84" s="140"/>
      <c r="H84" s="140"/>
      <c r="I84" s="140"/>
      <c r="J84" s="140"/>
      <c r="K84" s="140"/>
      <c r="L84" s="140"/>
      <c r="M84" s="140"/>
      <c r="N84" s="140"/>
      <c r="O84" s="138"/>
      <c r="P84" s="140" t="str">
        <v>W prawo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maksymalna zalecana zalecana długość profilu 2150 mm</v>
      </c>
      <c r="C85" s="140"/>
      <c r="D85" s="140"/>
      <c r="E85" s="140"/>
      <c r="F85" s="140"/>
      <c r="G85" s="140"/>
      <c r="H85" s="140"/>
      <c r="I85" s="140"/>
      <c r="J85" s="140"/>
      <c r="K85" s="140"/>
      <c r="L85" s="140"/>
      <c r="M85" s="140"/>
      <c r="N85" s="140"/>
      <c r="O85" s="140"/>
      <c r="P85" s="140" t="str">
        <v>W lewo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kaszmirowy - maksymalna zalecana długość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złota - maksymalna zalecana długość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złota szczotkowany - maksymalna zalecana zalecana długość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maksymalna zalecana zalecana długość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czarny matowy - maksymalna zalecana zalecana długość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LIJA - maksymalna zalecana zalecana długość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biały matowy RAL 9003 - maksymalna zalecana zalecana długość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biały połysk RAL 9003 - maksymalna zalecana zalecana długość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złota - maksymalna zalecana zalecana długość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złota szczotkowany - maksymalna zalecana zalecana długość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(lewa i prawa) + Varna elox (góra i dół)</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czarny (lewa i prawa) + Varna czarny (góra i dół)</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czarna matowa -  maksymalna zalecana długość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maksymalna zalecana długość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czarna matowa - maksymalna zalecana długość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maksymalna zalecana długość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L54yDlbJXw+r0ggmQWlV/tAtJvykryyoDn8doXM0d85pZETOdLoRa0RkHIk6aIcAo5Soej7J2WfseYA/oXmFtg==" saltValue="Vjb0hITk6vVxUJj+pQfpYQ=="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350" priority="24" operator="equal">
      <formula>$A$2</formula>
    </cfRule>
  </conditionalFormatting>
  <conditionalFormatting sqref="B16:I16">
    <cfRule type="expression" dxfId="349" priority="45">
      <formula>$AU$19=0</formula>
    </cfRule>
  </conditionalFormatting>
  <conditionalFormatting sqref="B9:Q9">
    <cfRule type="expression" dxfId="348" priority="30">
      <formula>$B$9=0</formula>
    </cfRule>
  </conditionalFormatting>
  <conditionalFormatting sqref="B11:Q11">
    <cfRule type="expression" dxfId="347" priority="44">
      <formula>$AU$10=0</formula>
    </cfRule>
  </conditionalFormatting>
  <conditionalFormatting sqref="B14:Q14">
    <cfRule type="expression" dxfId="346" priority="29">
      <formula>$B$14=0</formula>
    </cfRule>
  </conditionalFormatting>
  <conditionalFormatting sqref="B17:Q17">
    <cfRule type="expression" dxfId="345" priority="28">
      <formula>$B$17=0</formula>
    </cfRule>
  </conditionalFormatting>
  <conditionalFormatting sqref="B18:Q18">
    <cfRule type="expression" dxfId="344" priority="14" stopIfTrue="1">
      <formula>$B$18=0</formula>
    </cfRule>
    <cfRule type="expression" dxfId="343" priority="17">
      <formula>$F$16=$H$61</formula>
    </cfRule>
  </conditionalFormatting>
  <conditionalFormatting sqref="B19:Q19">
    <cfRule type="expression" dxfId="342" priority="27">
      <formula>$B$19=0</formula>
    </cfRule>
  </conditionalFormatting>
  <conditionalFormatting sqref="B20:Q20">
    <cfRule type="expression" dxfId="341" priority="26">
      <formula>$B$19=0</formula>
    </cfRule>
    <cfRule type="expression" dxfId="340" priority="25">
      <formula>$B$20=0</formula>
    </cfRule>
  </conditionalFormatting>
  <conditionalFormatting sqref="B21:Q21">
    <cfRule type="expression" dxfId="339" priority="6">
      <formula>$B$21=" "</formula>
    </cfRule>
  </conditionalFormatting>
  <conditionalFormatting sqref="B24:Q24">
    <cfRule type="expression" dxfId="338" priority="19" stopIfTrue="1">
      <formula>$T$59&lt;3</formula>
    </cfRule>
  </conditionalFormatting>
  <conditionalFormatting sqref="H23">
    <cfRule type="expression" dxfId="337" priority="31">
      <formula>$H$25&gt;0</formula>
    </cfRule>
  </conditionalFormatting>
  <conditionalFormatting sqref="H10:L11">
    <cfRule type="expression" dxfId="336" priority="23">
      <formula>$AU$10=2</formula>
    </cfRule>
  </conditionalFormatting>
  <conditionalFormatting sqref="H10:Q10">
    <cfRule type="expression" dxfId="335" priority="22">
      <formula>$AU$10=0</formula>
    </cfRule>
  </conditionalFormatting>
  <conditionalFormatting sqref="H22:Q22 B22:G23">
    <cfRule type="expression" dxfId="334" priority="20">
      <formula>$AS$33=1</formula>
    </cfRule>
  </conditionalFormatting>
  <conditionalFormatting sqref="J16:M16">
    <cfRule type="expression" dxfId="333" priority="16" stopIfTrue="1">
      <formula>$K$60=TRUE</formula>
    </cfRule>
  </conditionalFormatting>
  <conditionalFormatting sqref="J16:N16">
    <cfRule type="expression" dxfId="332" priority="18" stopIfTrue="1">
      <formula>$AV$19=0</formula>
    </cfRule>
  </conditionalFormatting>
  <conditionalFormatting sqref="M10:Q11">
    <cfRule type="expression" dxfId="331" priority="21">
      <formula>$AU$10=1</formula>
    </cfRule>
  </conditionalFormatting>
  <conditionalFormatting sqref="N16:Q16">
    <cfRule type="expression" dxfId="330" priority="15" stopIfTrue="1">
      <formula>$K$60=TRUE</formula>
    </cfRule>
  </conditionalFormatting>
  <conditionalFormatting sqref="P29:Q29">
    <cfRule type="expression" dxfId="329" priority="1">
      <formula>$U$41=2</formula>
    </cfRule>
  </conditionalFormatting>
  <conditionalFormatting sqref="AA9:AA10 AA24:AA25">
    <cfRule type="expression" dxfId="328" priority="10" stopIfTrue="1">
      <formula>$AU$17=1</formula>
    </cfRule>
  </conditionalFormatting>
  <conditionalFormatting sqref="AA16:AA17">
    <cfRule type="expression" dxfId="327" priority="5" stopIfTrue="1">
      <formula>$AU$24="1_3"</formula>
    </cfRule>
  </conditionalFormatting>
  <conditionalFormatting sqref="AB6 AA6:AA7 AA27 AA28:AB28">
    <cfRule type="expression" dxfId="326" priority="4" stopIfTrue="1">
      <formula>$AV$17=1</formula>
    </cfRule>
  </conditionalFormatting>
  <conditionalFormatting sqref="AB29:AO29">
    <cfRule type="cellIs" dxfId="325" priority="2" operator="equal">
      <formula>0</formula>
    </cfRule>
  </conditionalFormatting>
  <conditionalFormatting sqref="AC6:AD6 AM6:AN6">
    <cfRule type="expression" dxfId="324" priority="12" stopIfTrue="1">
      <formula>$AU$17=3</formula>
    </cfRule>
  </conditionalFormatting>
  <conditionalFormatting sqref="AC25:AD25 AJ26:AJ27">
    <cfRule type="expression" dxfId="323" priority="39">
      <formula>$AU$25=4</formula>
    </cfRule>
  </conditionalFormatting>
  <conditionalFormatting sqref="AC28:AD28 AM28:AN28">
    <cfRule type="expression" dxfId="322" priority="11" stopIfTrue="1">
      <formula>$AU$17=4</formula>
    </cfRule>
  </conditionalFormatting>
  <conditionalFormatting sqref="AC8:AG8">
    <cfRule type="expression" dxfId="321" priority="43">
      <formula>$AU$25=3</formula>
    </cfRule>
  </conditionalFormatting>
  <conditionalFormatting sqref="AC24:AG24">
    <cfRule type="expression" dxfId="320" priority="40">
      <formula>$AU$25=4</formula>
    </cfRule>
  </conditionalFormatting>
  <conditionalFormatting sqref="AD10:AD12 AB19:AC19">
    <cfRule type="expression" dxfId="319" priority="33">
      <formula>$AU$25=1</formula>
    </cfRule>
  </conditionalFormatting>
  <conditionalFormatting sqref="AD14:AD21">
    <cfRule type="expression" dxfId="318" priority="32">
      <formula>$AU$25=1</formula>
    </cfRule>
  </conditionalFormatting>
  <conditionalFormatting sqref="AE10:AE16">
    <cfRule type="expression" dxfId="317" priority="41">
      <formula>$AU$25=1</formula>
    </cfRule>
  </conditionalFormatting>
  <conditionalFormatting sqref="AF9:AK9">
    <cfRule type="expression" dxfId="316" priority="36">
      <formula>$AU$25=3</formula>
    </cfRule>
  </conditionalFormatting>
  <conditionalFormatting sqref="AF25:AK25">
    <cfRule type="expression" dxfId="315" priority="38">
      <formula>$AU$25=4</formula>
    </cfRule>
  </conditionalFormatting>
  <conditionalFormatting sqref="AG6:AH6">
    <cfRule type="expression" dxfId="314" priority="8" stopIfTrue="1">
      <formula>$AU$24="3_3"</formula>
    </cfRule>
  </conditionalFormatting>
  <conditionalFormatting sqref="AG28:AH28">
    <cfRule type="expression" dxfId="313" priority="7" stopIfTrue="1">
      <formula>$AU$24="4_3"</formula>
    </cfRule>
  </conditionalFormatting>
  <conditionalFormatting sqref="AJ7:AJ8 AC9:AD9">
    <cfRule type="expression" dxfId="312" priority="37">
      <formula>$AU$25=3</formula>
    </cfRule>
  </conditionalFormatting>
  <conditionalFormatting sqref="AL19:AL25">
    <cfRule type="expression" dxfId="311" priority="42">
      <formula>$AU$25=2</formula>
    </cfRule>
  </conditionalFormatting>
  <conditionalFormatting sqref="AM14:AM21">
    <cfRule type="expression" dxfId="310" priority="34">
      <formula>$AU$25=2</formula>
    </cfRule>
  </conditionalFormatting>
  <conditionalFormatting sqref="AN19:AO19 AM23:AM25">
    <cfRule type="expression" dxfId="309" priority="35">
      <formula>$AU$25=2</formula>
    </cfRule>
  </conditionalFormatting>
  <conditionalFormatting sqref="AO6 AP6:AP7 AP27 AO28:AP28">
    <cfRule type="expression" dxfId="308" priority="3" stopIfTrue="1">
      <formula>$AV$17=2</formula>
    </cfRule>
  </conditionalFormatting>
  <conditionalFormatting sqref="AP9:AP10 AP24:AP25">
    <cfRule type="expression" dxfId="307" priority="9" stopIfTrue="1">
      <formula>$AU$17=2</formula>
    </cfRule>
  </conditionalFormatting>
  <conditionalFormatting sqref="AP16:AP17">
    <cfRule type="expression" dxfId="306" priority="13" stopIfTrue="1">
      <formula>$AU$24="2_3"</formula>
    </cfRule>
  </conditionalFormatting>
  <dataValidations count="20">
    <dataValidation type="whole" allowBlank="1" showInputMessage="1" showErrorMessage="1" sqref="H11:L11" xr:uid="{BC92C672-0A81-4470-B996-1DA4A9875870}">
      <formula1>1</formula1>
      <formula2>(AR14/100)-1</formula2>
    </dataValidation>
    <dataValidation type="whole" allowBlank="1" showInputMessage="1" showErrorMessage="1" sqref="M11:Q11" xr:uid="{75B47FD7-24A9-4480-9400-545C03848CA6}">
      <formula1>1</formula1>
      <formula2>(AI30/100)-1</formula2>
    </dataValidation>
    <dataValidation type="whole" allowBlank="1" showInputMessage="1" showErrorMessage="1" errorTitle="Minimum 80 mm" sqref="F20:I20 N20:Q20" xr:uid="{E50C9C43-FD12-432E-80FC-B46BA626A3FA}">
      <formula1>80</formula1>
      <formula2>1300</formula2>
    </dataValidation>
    <dataValidation type="whole" operator="greaterThanOrEqual" allowBlank="1" showInputMessage="1" showErrorMessage="1" sqref="H26:Q26" xr:uid="{AAD2C997-E031-424A-9D04-41F9F5924F8A}">
      <formula1>1</formula1>
    </dataValidation>
    <dataValidation type="list" allowBlank="1" showInputMessage="1" showErrorMessage="1" sqref="H12:Q12" xr:uid="{6694DCD8-2011-43F7-AEFF-932ADF412208}">
      <formula1>$L$36:$M$36</formula1>
    </dataValidation>
    <dataValidation type="list" allowBlank="1" showInputMessage="1" showErrorMessage="1" sqref="H14:Q14" xr:uid="{9C35A01C-25D6-4789-942F-9184CB305E1A}">
      <formula1>$P$36:$P$38</formula1>
    </dataValidation>
    <dataValidation type="list" allowBlank="1" showInputMessage="1" showErrorMessage="1" sqref="H21:Q21" xr:uid="{F8B3D276-C163-44E6-9CA0-490D60AE700E}">
      <formula1>$T$54:$T$56</formula1>
    </dataValidation>
    <dataValidation type="list" allowBlank="1" showInputMessage="1" showErrorMessage="1" sqref="H24:Q24" xr:uid="{67BABC9A-EA92-4139-A0FA-E0C484060550}">
      <formula1>$X$54:$X$56</formula1>
    </dataValidation>
    <dataValidation type="list" allowBlank="1" showInputMessage="1" showErrorMessage="1" sqref="H19:Q19" xr:uid="{620E1840-94AD-4245-AC98-E3A74966F42E}">
      <formula1>IF(H13="Salice",$AJ$36,($AJ$36:$AJ$40))</formula1>
    </dataValidation>
    <dataValidation type="list" allowBlank="1" showInputMessage="1" showErrorMessage="1" sqref="H18:Q18" xr:uid="{12480EEF-D204-4E2B-B26A-E79B60AF856B}">
      <formula1>$AF$36:$AF$41</formula1>
    </dataValidation>
    <dataValidation type="list" allowBlank="1" showInputMessage="1" showErrorMessage="1" sqref="N16:Q16" xr:uid="{EF74ED6A-FA00-424D-8411-C2D1C90D7F5E}">
      <formula1>$K$54:$K$58</formula1>
    </dataValidation>
    <dataValidation type="list" allowBlank="1" showInputMessage="1" showErrorMessage="1" sqref="H13:Q13" xr:uid="{F374E284-4841-40C6-88F0-F88FB2A2CBF1}">
      <formula1>IF(M38="Salice",$L$38,$L$38:$L$42)</formula1>
    </dataValidation>
    <dataValidation type="list" allowBlank="1" showInputMessage="1" showErrorMessage="1" sqref="H15:Q15" xr:uid="{A09ECA51-69B2-4AC6-B23B-E38D3AD0F9FC}">
      <formula1>$T$36:$T$44</formula1>
    </dataValidation>
    <dataValidation type="list" allowBlank="1" showInputMessage="1" showErrorMessage="1" sqref="F16:I16" xr:uid="{3AFC580C-FBC4-41B9-95FB-6FF6108EED04}">
      <formula1>$O$65:$O$84</formula1>
    </dataValidation>
    <dataValidation type="whole" operator="lessThan" showInputMessage="1" showErrorMessage="1" sqref="AI30:AK30" xr:uid="{7C556108-E87E-40A2-ADC9-1232A087884A}">
      <formula1>IF(AR14&lt;AI43+1,AJ43+1,AI43+1)</formula1>
    </dataValidation>
    <dataValidation type="whole" operator="lessThan" showErrorMessage="1" sqref="AR14:AR18" xr:uid="{249FCFDF-778A-489A-8A70-2124918F1EAF}">
      <formula1>IF(AI30&lt;AI43+1,AJ43+1,AI43+1)</formula1>
    </dataValidation>
    <dataValidation type="list" allowBlank="1" showInputMessage="1" showErrorMessage="1" sqref="P29:Q29" xr:uid="{56B44B76-9C0F-428B-90B4-6C2AE7B3A16B}">
      <formula1>$W$37:$W$38</formula1>
    </dataValidation>
    <dataValidation type="list" allowBlank="1" showInputMessage="1" showErrorMessage="1" sqref="H25:Q25" xr:uid="{84C0525C-2F5F-424C-A4A0-0BCDC74FB13E}">
      <formula1>$AD$54:$AD$97</formula1>
    </dataValidation>
    <dataValidation type="list" allowBlank="1" showInputMessage="1" showErrorMessage="1" sqref="H17:Q17" xr:uid="{2F3DA4CB-AC97-4123-9D64-3C6DB1D5C3C2}">
      <formula1>$P$82:$P$90</formula1>
    </dataValidation>
    <dataValidation type="list" allowBlank="1" showInputMessage="1" showErrorMessage="1" sqref="H8:Q8" xr:uid="{C6675D95-B6C1-4C07-82F8-FEB587012F24}">
      <formula1>B36:B101</formula1>
    </dataValidation>
  </dataValidations>
  <hyperlinks>
    <hyperlink ref="AP2:AS3" location="Hlavní!A1" display="Hlavní!A1" xr:uid="{E235EFAD-3DD3-45ED-833B-62671E3D5EF9}"/>
    <hyperlink ref="F5:H5" location="Ram_2!A1" display="Ram_2!A1" xr:uid="{CE8E9903-D5D5-401F-918B-5AC809582B55}"/>
    <hyperlink ref="N5:P5" location="Ram_4!A1" display="Ram_4!A1" xr:uid="{090D8F24-8F3D-41B6-B207-854E86397452}"/>
    <hyperlink ref="R5:T5" location="Ram_5!A1" display="Ram_5!A1" xr:uid="{9A5ED582-FCA6-4C73-B2D7-DE558B345687}"/>
    <hyperlink ref="V5:X5" location="Ram_6!A1" display="Ram_6!A1" xr:uid="{749C17B1-1822-4F4E-8C1A-AA0F58E52CCF}"/>
    <hyperlink ref="B5:D5" location="Ram_1!A1" display="Ram_1!A1" xr:uid="{CEB5013A-53BE-4FA2-B478-2B65817BAB84}"/>
    <hyperlink ref="AO31:AR32" location="_souhrn!A1" display="_souhrn!A1" xr:uid="{2BD87F31-B7AD-4D27-BAE3-A8B21DB894D7}"/>
    <hyperlink ref="J5:L5" location="Ram_3!A1" display="Ram_3!A1" xr:uid="{23D678BB-EF6E-492E-A958-3BF55541498A}"/>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782426" r:id="rId3" name="Check Box 1114">
              <controlPr defaultSize="0" autoFill="0" autoLine="0" autoPict="0">
                <anchor moveWithCells="1">
                  <from>
                    <xdr:col>5</xdr:col>
                    <xdr:colOff>57150</xdr:colOff>
                    <xdr:row>6</xdr:row>
                    <xdr:rowOff>171450</xdr:rowOff>
                  </from>
                  <to>
                    <xdr:col>5</xdr:col>
                    <xdr:colOff>314325</xdr:colOff>
                    <xdr:row>7</xdr:row>
                    <xdr:rowOff>238125</xdr:rowOff>
                  </to>
                </anchor>
              </controlPr>
            </control>
          </mc:Choice>
        </mc:AlternateContent>
        <mc:AlternateContent xmlns:mc="http://schemas.openxmlformats.org/markup-compatibility/2006">
          <mc:Choice Requires="x14">
            <control shapeId="783316" r:id="rId4" name="Check Box 2004">
              <controlPr defaultSize="0" autoFill="0" autoLine="0" autoPict="0">
                <anchor moveWithCells="1">
                  <from>
                    <xdr:col>5</xdr:col>
                    <xdr:colOff>57150</xdr:colOff>
                    <xdr:row>6</xdr:row>
                    <xdr:rowOff>0</xdr:rowOff>
                  </from>
                  <to>
                    <xdr:col>5</xdr:col>
                    <xdr:colOff>285750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9AF8600-2527-4223-8A38-DBDBAA560F7E}">
          <x14:formula1>
            <xm:f>'závěsy dle výklopu'!$BW$2:$BW$5</xm:f>
          </x14:formula1>
          <xm:sqref>H27:Q27</xm:sqref>
        </x14:dataValidation>
        <x14:dataValidation type="list" allowBlank="1" showInputMessage="1" showErrorMessage="1" xr:uid="{31271053-AA2F-4A0E-83DF-351E50F377F4}">
          <x14:formula1>
            <xm:f>kombinace_1!$BY$13:$BY$15</xm:f>
          </x14:formula1>
          <xm:sqref>H9:Q9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8591-8006-4E8F-8D9A-551FCCCBF368}">
  <sheetPr codeName="List12"/>
  <dimension ref="A1:FC758"/>
  <sheetViews>
    <sheetView topLeftCell="A22"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VLOOKUP(Ram_3!H8,kombinace_3!$A$3:$C$75,3,0)</f>
        <v>#N/A</v>
      </c>
      <c r="S1" t="e">
        <f>CONCATENATE("_",R1,V1)</f>
        <v>#N/A</v>
      </c>
      <c r="U1" s="173" t="s">
        <v>996</v>
      </c>
      <c r="V1" s="2">
        <f>IFERROR(VLOOKUP(Ram_3!H21,$EN$3:$EO$5,2,0),1)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CONCATENATE("_",Ram_3!H12,"_",Ram_3!H13)</f>
        <v>__</v>
      </c>
      <c r="BV2" t="s">
        <v>1013</v>
      </c>
      <c r="BW2" t="s">
        <v>1009</v>
      </c>
      <c r="BY2" t="s">
        <v>110</v>
      </c>
      <c r="CA2" t="s">
        <v>1032</v>
      </c>
      <c r="CD2" t="s">
        <v>1106</v>
      </c>
      <c r="CF2" t="s">
        <v>1328</v>
      </c>
      <c r="DN2" t="str">
        <f>'Translate&amp;Prices&amp;Logo'!B555</f>
        <v>Nakładany</v>
      </c>
      <c r="DP2" t="str">
        <f>'Translate&amp;Prices&amp;Logo'!$B$553</f>
        <v>Zawiasy</v>
      </c>
      <c r="DQ2">
        <v>2</v>
      </c>
      <c r="ED2" t="s">
        <v>1649</v>
      </c>
      <c r="EE2" t="s">
        <v>3183</v>
      </c>
      <c r="ER2" t="s">
        <v>2153</v>
      </c>
      <c r="ES2" t="s">
        <v>2158</v>
      </c>
      <c r="EV2">
        <v>2</v>
      </c>
      <c r="EW2" t="s">
        <v>2175</v>
      </c>
      <c r="EY2" s="206" t="str">
        <f>'Translate&amp;Prices&amp;Logo'!B166</f>
        <v>siatka alu złota - oko 10x6x1 mm</v>
      </c>
      <c r="FA2" s="34" t="str">
        <f>'Translate&amp;Prices&amp;Logo'!B646</f>
        <v>520405 SALICE AIR SOFT zawiasy niklowe o kącie otwarcia 92° kpl. 2 szt</v>
      </c>
      <c r="FC2" t="b">
        <v>0</v>
      </c>
    </row>
    <row r="3" spans="1:159">
      <c r="A3" t="str">
        <f>'Translate&amp;Prices&amp;Logo'!$B$6</f>
        <v>BRW (elox.) - maksymalna zalecana długość profilu 2500 mm</v>
      </c>
      <c r="B3">
        <v>1</v>
      </c>
      <c r="C3" t="s">
        <v>651</v>
      </c>
      <c r="D3">
        <v>1</v>
      </c>
      <c r="F3" t="s">
        <v>950</v>
      </c>
      <c r="G3" t="s">
        <v>382</v>
      </c>
      <c r="H3" t="s">
        <v>951</v>
      </c>
      <c r="I3">
        <v>1</v>
      </c>
      <c r="J3">
        <v>2</v>
      </c>
      <c r="K3" t="s">
        <v>651</v>
      </c>
      <c r="M3" t="s">
        <v>952</v>
      </c>
      <c r="N3" t="s">
        <v>554</v>
      </c>
      <c r="X3" t="str">
        <f>'Translate&amp;Prices&amp;Logo'!$B$565</f>
        <v>transparentna</v>
      </c>
      <c r="Y3">
        <v>1</v>
      </c>
      <c r="AA3" t="s">
        <v>2079</v>
      </c>
      <c r="AB3" t="s">
        <v>1009</v>
      </c>
      <c r="AF3" t="s">
        <v>105</v>
      </c>
      <c r="AG3" t="s">
        <v>2373</v>
      </c>
      <c r="AY3" t="s">
        <v>984</v>
      </c>
      <c r="BK3" t="s">
        <v>105</v>
      </c>
      <c r="BU3" t="e">
        <f>VLOOKUP(BU2,BV2:BW9,2,0)</f>
        <v>#N/A</v>
      </c>
      <c r="BV3" t="s">
        <v>1015</v>
      </c>
      <c r="BW3" t="s">
        <v>1012</v>
      </c>
      <c r="BY3" t="str">
        <f>'Translate&amp;Prices&amp;Logo'!$B$232</f>
        <v>W lewo</v>
      </c>
      <c r="BZ3">
        <v>1</v>
      </c>
      <c r="CA3">
        <v>32</v>
      </c>
      <c r="CD3" t="s">
        <v>2370</v>
      </c>
      <c r="CE3">
        <v>1</v>
      </c>
      <c r="CF3">
        <v>1</v>
      </c>
      <c r="DN3" t="e">
        <f>IF(OR(Ram_3!$H$13&amp;Ram_3!$AU$7=Ram_3!$M$44,
Ram_3!$H$13&amp;Ram_3!$AU$7=Ram_3!$M$45,
Ram_3!$H$13&amp;Ram_3!$AU$7=Ram_3!$M$46,
Ram_3!$H$13&amp;Ram_3!$AU$7=Ram_3!$M$47),
'Translate&amp;Prices&amp;Logo'!B659,'Translate&amp;Prices&amp;Logo'!B556)</f>
        <v>#N/A</v>
      </c>
      <c r="DP3" t="str">
        <f>'Translate&amp;Prices&amp;Logo'!$B$554</f>
        <v>Podnośniki</v>
      </c>
      <c r="DQ3">
        <v>3</v>
      </c>
      <c r="ED3" t="s">
        <v>1650</v>
      </c>
      <c r="EE3" t="s">
        <v>3186</v>
      </c>
      <c r="EJ3">
        <v>1</v>
      </c>
      <c r="EK3" t="s">
        <v>113</v>
      </c>
      <c r="EN3" t="str">
        <f>'Translate&amp;Prices&amp;Logo'!B640</f>
        <v>Bez modyfikacji</v>
      </c>
      <c r="EO3">
        <v>1</v>
      </c>
      <c r="ER3" t="s">
        <v>2151</v>
      </c>
      <c r="ES3" t="s">
        <v>2159</v>
      </c>
      <c r="EV3">
        <v>3</v>
      </c>
      <c r="EW3" t="s">
        <v>2176</v>
      </c>
      <c r="EY3" s="206" t="str">
        <f>'Translate&amp;Prices&amp;Logo'!B167</f>
        <v>siatka stal czarny mat RAL 9005– oko 8x4x1 mm</v>
      </c>
      <c r="FA3" s="34" t="str">
        <f>'Translate&amp;Prices&amp;Logo'!B647</f>
        <v>520406 SALICE AIR PUSH TO OPEN zawiasy niklowe z zestawem adapterów 2 szt</v>
      </c>
    </row>
    <row r="4" spans="1:159">
      <c r="A4" t="str">
        <f>'Translate&amp;Prices&amp;Logo'!$B$8</f>
        <v>BRW bialy matowy RAL 9003 - maksymalna zalecana długość profilu 2500 mm</v>
      </c>
      <c r="B4">
        <v>1</v>
      </c>
      <c r="C4" t="s">
        <v>651</v>
      </c>
      <c r="D4">
        <v>0</v>
      </c>
      <c r="G4" t="s">
        <v>951</v>
      </c>
      <c r="H4" t="s">
        <v>382</v>
      </c>
      <c r="I4">
        <v>0</v>
      </c>
      <c r="J4">
        <v>2</v>
      </c>
      <c r="K4" t="s">
        <v>651</v>
      </c>
      <c r="M4" t="s">
        <v>955</v>
      </c>
      <c r="N4" t="s">
        <v>856</v>
      </c>
      <c r="X4" t="str">
        <f>'Translate&amp;Prices&amp;Logo'!$B$566</f>
        <v>Biała</v>
      </c>
      <c r="Y4">
        <v>2</v>
      </c>
      <c r="AA4" t="s">
        <v>954</v>
      </c>
      <c r="AB4" t="s">
        <v>2370</v>
      </c>
      <c r="AC4">
        <v>1</v>
      </c>
      <c r="AD4">
        <v>1</v>
      </c>
      <c r="AF4" t="s">
        <v>106</v>
      </c>
      <c r="AG4" t="s">
        <v>2373</v>
      </c>
      <c r="AY4" t="s">
        <v>984</v>
      </c>
      <c r="AZ4" t="s">
        <v>1017</v>
      </c>
      <c r="BK4" t="s">
        <v>106</v>
      </c>
      <c r="BV4" t="s">
        <v>1016</v>
      </c>
      <c r="BW4" t="s">
        <v>1011</v>
      </c>
      <c r="BY4" t="str">
        <f>'Translate&amp;Prices&amp;Logo'!$B$231</f>
        <v>W prawo</v>
      </c>
      <c r="BZ4">
        <v>2</v>
      </c>
      <c r="CA4">
        <v>64</v>
      </c>
      <c r="CD4" t="s">
        <v>2150</v>
      </c>
      <c r="CE4">
        <v>1</v>
      </c>
      <c r="CF4">
        <v>0</v>
      </c>
      <c r="DN4" t="e">
        <f>IF(OR(Ram_3!$H$13&amp;Ram_3!$AU$7=Ram_3!$M$44,
Ram_3!$H$13&amp;Ram_3!$AU$7=Ram_3!$M$45,
Ram_3!$H$13&amp;Ram_3!$AU$7=Ram_3!$M$46,
Ram_3!$H$13&amp;Ram_3!$AU$7=Ram_3!$M$47),
'Translate&amp;Prices&amp;Logo'!B659,'Translate&amp;Prices&amp;Logo'!B557)</f>
        <v>#N/A</v>
      </c>
      <c r="ED4" t="s">
        <v>1651</v>
      </c>
      <c r="EE4" t="s">
        <v>3188</v>
      </c>
      <c r="EJ4">
        <v>2</v>
      </c>
      <c r="EK4" t="s">
        <v>114</v>
      </c>
      <c r="EN4" t="str">
        <f>'Translate&amp;Prices&amp;Logo'!B641</f>
        <v>Hartowane (termin dostawy 4 tygodnie)</v>
      </c>
      <c r="EO4">
        <v>2</v>
      </c>
      <c r="ER4" t="s">
        <v>2445</v>
      </c>
      <c r="ES4" t="s">
        <v>2446</v>
      </c>
      <c r="EV4">
        <v>4</v>
      </c>
      <c r="EW4" t="s">
        <v>2177</v>
      </c>
      <c r="EY4" s="206" t="str">
        <f>'Translate&amp;Prices&amp;Logo'!B168</f>
        <v>siatka stalowa biała - oko 8x4x1 mm</v>
      </c>
      <c r="FA4" s="34" t="str">
        <f>'Translate&amp;Prices&amp;Logo'!B648</f>
        <v>520407 SALICE AIR PUSH TO OPEN zawiasy niklowe z zestawem adapterów 2 szt</v>
      </c>
    </row>
    <row r="5" spans="1:159">
      <c r="A5" t="str">
        <f>'Translate&amp;Prices&amp;Logo'!$B$9</f>
        <v>BRW bialy połysk RAL 9003 - maksymalna zalecana długość profilu 2500 mm</v>
      </c>
      <c r="B5">
        <v>1</v>
      </c>
      <c r="C5" t="s">
        <v>651</v>
      </c>
      <c r="D5">
        <v>0</v>
      </c>
      <c r="F5" t="s">
        <v>957</v>
      </c>
      <c r="G5" t="s">
        <v>381</v>
      </c>
      <c r="H5" t="s">
        <v>951</v>
      </c>
      <c r="I5">
        <v>1</v>
      </c>
      <c r="J5">
        <v>2</v>
      </c>
      <c r="K5" t="s">
        <v>651</v>
      </c>
      <c r="M5" t="s">
        <v>958</v>
      </c>
      <c r="N5" t="s">
        <v>556</v>
      </c>
      <c r="X5" t="str">
        <f>'Translate&amp;Prices&amp;Logo'!$B$567</f>
        <v>czarna</v>
      </c>
      <c r="Y5">
        <v>3</v>
      </c>
      <c r="AA5" t="s">
        <v>954</v>
      </c>
      <c r="AB5" t="s">
        <v>2374</v>
      </c>
      <c r="AC5">
        <v>0</v>
      </c>
      <c r="AD5">
        <v>0</v>
      </c>
      <c r="AF5" t="s">
        <v>105</v>
      </c>
      <c r="AG5" t="s">
        <v>2375</v>
      </c>
      <c r="AY5" t="s">
        <v>984</v>
      </c>
      <c r="AZ5" t="s">
        <v>1018</v>
      </c>
      <c r="BK5" t="s">
        <v>961</v>
      </c>
      <c r="BV5" t="s">
        <v>2497</v>
      </c>
      <c r="BW5" t="s">
        <v>2498</v>
      </c>
      <c r="BY5" t="str">
        <f>'Translate&amp;Prices&amp;Logo'!$B$229</f>
        <v>W górę</v>
      </c>
      <c r="BZ5">
        <v>3</v>
      </c>
      <c r="CA5">
        <v>76</v>
      </c>
      <c r="CD5" t="s">
        <v>964</v>
      </c>
      <c r="CE5">
        <v>1</v>
      </c>
      <c r="CF5">
        <v>0</v>
      </c>
      <c r="ED5" t="s">
        <v>1652</v>
      </c>
      <c r="EE5" t="s">
        <v>3189</v>
      </c>
      <c r="EJ5">
        <v>3</v>
      </c>
      <c r="EK5" t="s">
        <v>74</v>
      </c>
      <c r="EN5" t="str">
        <f>IF(Ram_3!H25="",'Translate&amp;Prices&amp;Logo'!B642,"")</f>
        <v>Folia</v>
      </c>
      <c r="EO5">
        <v>3</v>
      </c>
      <c r="ER5" t="s">
        <v>2447</v>
      </c>
      <c r="ES5" t="s">
        <v>2448</v>
      </c>
      <c r="EV5">
        <v>5</v>
      </c>
      <c r="EW5" t="s">
        <v>2175</v>
      </c>
      <c r="EY5" s="206" t="str">
        <f>'Translate&amp;Prices&amp;Logo'!B169</f>
        <v>siatka elox - oko 10x6x1 mm</v>
      </c>
      <c r="FA5" s="34" t="str">
        <f>'Translate&amp;Prices&amp;Logo'!B649</f>
        <v>520408 SALICE AIR SOFT zawiasy niklowe z zestawem adapterów 2 szt</v>
      </c>
    </row>
    <row r="6" spans="1:159">
      <c r="A6" t="str">
        <f>'Translate&amp;Prices&amp;Logo'!$B$11</f>
        <v>BRW szczotkowany - maksymalna zalecana długość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W dół</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zawiasy o kącie otwarcia 92° kpl. 2 szt</v>
      </c>
    </row>
    <row r="7" spans="1:159">
      <c r="A7" t="str">
        <f>'Translate&amp;Prices&amp;Logo'!$B$12</f>
        <v>BRW Czarny matowy - maksymalna zalecana długość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zawiasy komplet 2 szt</v>
      </c>
    </row>
    <row r="8" spans="1:159">
      <c r="A8" t="str">
        <f>'Translate&amp;Prices&amp;Logo'!$B$14</f>
        <v>BRW czarna szczotka - maksymalna zalecana długość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zawiasy z zestawem adapterów 2 szt</v>
      </c>
    </row>
    <row r="9" spans="1:159">
      <c r="A9" t="str">
        <f>'Translate&amp;Prices&amp;Logo'!$B$15</f>
        <v>BRW INOX ACIER gratta - maksymalna zalecana długość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zawiasy z zestawem adapterów 2 szt</v>
      </c>
    </row>
    <row r="10" spans="1:159">
      <c r="A10" t="str">
        <f>'Translate&amp;Prices&amp;Logo'!$B$7</f>
        <v>BRW antracyt RAL 7021 - maksymalna zalecana długość profilu 2500 mm</v>
      </c>
      <c r="B10">
        <v>1</v>
      </c>
      <c r="C10" t="s">
        <v>651</v>
      </c>
      <c r="D10">
        <v>0</v>
      </c>
      <c r="M10" t="str">
        <f>'Translate&amp;Prices&amp;Logo'!B560</f>
        <v>Poziomo (termin dostawy 4 tygodnie)</v>
      </c>
      <c r="N10">
        <f>IF(Ram_3!$H$9=kombinace_3!M10,1,0)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maksymalna zalecana długość profilu 2500 mm</v>
      </c>
      <c r="B11">
        <v>1</v>
      </c>
      <c r="C11" t="s">
        <v>651</v>
      </c>
      <c r="D11">
        <v>0</v>
      </c>
      <c r="M11" t="str">
        <f>'Translate&amp;Prices&amp;Logo'!B561</f>
        <v>Pionowo (termin dostawy 4 tygodnie)</v>
      </c>
      <c r="N11">
        <f>IF(Ram_3!$H$9=kombinace_3!M11,2,0)</f>
        <v>0</v>
      </c>
      <c r="AC11">
        <v>0</v>
      </c>
      <c r="AD11">
        <v>0</v>
      </c>
      <c r="AF11" t="s">
        <v>105</v>
      </c>
      <c r="AG11" t="s">
        <v>969</v>
      </c>
      <c r="AY11" t="s">
        <v>954</v>
      </c>
      <c r="AZ11" t="s">
        <v>1023</v>
      </c>
      <c r="BQ11" s="208" t="s">
        <v>2263</v>
      </c>
      <c r="BY11">
        <v>5</v>
      </c>
      <c r="CA11">
        <v>240</v>
      </c>
      <c r="CD11" t="str">
        <f>CONCATENATE('Translate&amp;Prices&amp;Logo'!B666,"_K12")</f>
        <v>dolny_K12</v>
      </c>
      <c r="CE11">
        <v>1</v>
      </c>
      <c r="CF11">
        <v>0</v>
      </c>
      <c r="DN11" t="s">
        <v>69</v>
      </c>
      <c r="DO11" s="2" t="s">
        <v>69</v>
      </c>
      <c r="ED11" t="s">
        <v>1658</v>
      </c>
      <c r="EE11" t="s">
        <v>1752</v>
      </c>
      <c r="ER11" t="s">
        <v>2155</v>
      </c>
      <c r="ES11" t="s">
        <v>2161</v>
      </c>
    </row>
    <row r="12" spans="1:159">
      <c r="A12" t="str">
        <f>'Translate&amp;Prices&amp;Logo'!$B$72</f>
        <v>BRW champagne light - maksymalna zalecana długość profilu 2500 mm</v>
      </c>
      <c r="B12">
        <v>1</v>
      </c>
      <c r="C12" t="s">
        <v>651</v>
      </c>
      <c r="D12">
        <v>0</v>
      </c>
      <c r="M12" t="str">
        <f>'Translate&amp;Prices&amp;Logo'!B562</f>
        <v>Poziomo i pionowo (termin dostawy 4 tygodnie)</v>
      </c>
      <c r="N12">
        <f>IF(Ram_3!$H$9=kombinace_3!M12,3,0)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brąz - maksymalna zalecana długość profilu 2500 mm</v>
      </c>
      <c r="B13">
        <v>1</v>
      </c>
      <c r="C13" t="s">
        <v>651</v>
      </c>
      <c r="D13">
        <v>0</v>
      </c>
      <c r="AC13">
        <v>0</v>
      </c>
      <c r="AD13">
        <v>0</v>
      </c>
      <c r="AF13" t="s">
        <v>105</v>
      </c>
      <c r="AG13" t="s">
        <v>972</v>
      </c>
      <c r="AY13" t="s">
        <v>954</v>
      </c>
      <c r="AZ13" t="s">
        <v>1025</v>
      </c>
      <c r="BQ13" s="209"/>
      <c r="BR13" t="s">
        <v>966</v>
      </c>
      <c r="BY13" t="str">
        <f>'Translate&amp;Prices&amp;Logo'!$B$560</f>
        <v>Poziomo (termin dostawy 4 tygodnie)</v>
      </c>
      <c r="BZ13">
        <v>1</v>
      </c>
      <c r="CA13">
        <v>288</v>
      </c>
      <c r="CD13" t="str">
        <f>CONCATENATE('Translate&amp;Prices&amp;Logo'!B666,"_kraby")</f>
        <v>dolny_kraby</v>
      </c>
      <c r="CE13">
        <v>1</v>
      </c>
      <c r="CF13">
        <v>0</v>
      </c>
      <c r="DN13" t="s">
        <v>220</v>
      </c>
      <c r="DO13" s="2" t="s">
        <v>68</v>
      </c>
      <c r="ED13" t="s">
        <v>2507</v>
      </c>
      <c r="EE13" t="s">
        <v>2506</v>
      </c>
      <c r="ER13" t="s">
        <v>2157</v>
      </c>
      <c r="ES13" t="s">
        <v>2157</v>
      </c>
    </row>
    <row r="14" spans="1:159">
      <c r="A14" t="str">
        <f>'Translate&amp;Prices&amp;Logo'!$B$16</f>
        <v>BRW INOX LIJA - maksymalna zalecana długość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Pionowo (termin dostawy 4 tygodnie)</v>
      </c>
      <c r="BZ14">
        <v>2</v>
      </c>
      <c r="CA14">
        <v>320</v>
      </c>
      <c r="CD14" t="s">
        <v>980</v>
      </c>
      <c r="CE14">
        <v>1</v>
      </c>
      <c r="CF14">
        <v>0</v>
      </c>
      <c r="DN14" t="s">
        <v>221</v>
      </c>
      <c r="DO14" s="2" t="s">
        <v>69</v>
      </c>
      <c r="ED14" t="s">
        <v>1660</v>
      </c>
      <c r="EE14" t="s">
        <v>1754</v>
      </c>
      <c r="ER14" t="s">
        <v>2158</v>
      </c>
      <c r="ES14" t="s">
        <v>2158</v>
      </c>
    </row>
    <row r="15" spans="1:159">
      <c r="A15" t="str">
        <f>'Translate&amp;Prices&amp;Logo'!$B$64</f>
        <v>BRW kaszmirowy - maksymalna zalecana długość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Poziomo i pionowo (termin dostawy 4 tygodnie)</v>
      </c>
      <c r="BZ15">
        <v>3</v>
      </c>
      <c r="CA15">
        <v>384</v>
      </c>
      <c r="CD15" t="s">
        <v>981</v>
      </c>
      <c r="CE15">
        <v>1</v>
      </c>
      <c r="CF15">
        <v>0</v>
      </c>
      <c r="DN15" t="s">
        <v>1145</v>
      </c>
      <c r="DO15" s="2" t="s">
        <v>70</v>
      </c>
      <c r="ED15" t="s">
        <v>1661</v>
      </c>
      <c r="EE15" t="s">
        <v>1755</v>
      </c>
      <c r="ER15" t="s">
        <v>2159</v>
      </c>
      <c r="ES15" t="s">
        <v>2159</v>
      </c>
    </row>
    <row r="16" spans="1:159">
      <c r="A16" t="str">
        <f>'Translate&amp;Prices&amp;Logo'!$B$13</f>
        <v>BRW złota- maksymalna zalecana długość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StrongLift_gorny</v>
      </c>
      <c r="CE16">
        <v>1</v>
      </c>
      <c r="CF16">
        <v>1</v>
      </c>
      <c r="DN16" t="s">
        <v>284</v>
      </c>
      <c r="DO16" s="2" t="s">
        <v>68</v>
      </c>
      <c r="ED16" t="s">
        <v>1662</v>
      </c>
      <c r="EE16" t="s">
        <v>1756</v>
      </c>
      <c r="ER16" t="s">
        <v>2446</v>
      </c>
      <c r="ES16" t="s">
        <v>2446</v>
      </c>
      <c r="FC16" s="244"/>
    </row>
    <row r="17" spans="1:159">
      <c r="A17" t="str">
        <f>'Translate&amp;Prices&amp;Logo'!$B$55</f>
        <v>BRW złota szczotkowany - maksymalna zalecana zalecana długość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StrongLift_dolny</v>
      </c>
      <c r="CE17">
        <v>1</v>
      </c>
      <c r="CF17">
        <v>1</v>
      </c>
      <c r="DN17" t="s">
        <v>1244</v>
      </c>
      <c r="DO17" s="2" t="s">
        <v>69</v>
      </c>
      <c r="ED17" t="s">
        <v>1663</v>
      </c>
      <c r="EE17" t="s">
        <v>1757</v>
      </c>
      <c r="ER17" t="s">
        <v>2448</v>
      </c>
      <c r="ES17" t="s">
        <v>2448</v>
      </c>
      <c r="FC17" s="244"/>
    </row>
    <row r="18" spans="1:159">
      <c r="A18" t="str">
        <f>'Translate&amp;Prices&amp;Logo'!$B$17</f>
        <v>Corleone (elox.)- maksymalna zalecana długość profilu 1500 mm</v>
      </c>
      <c r="B18">
        <v>2</v>
      </c>
      <c r="C18" t="s">
        <v>651</v>
      </c>
      <c r="D18">
        <v>0</v>
      </c>
      <c r="E18">
        <v>3</v>
      </c>
      <c r="F18" t="str">
        <f>'Translate&amp;Prices&amp;Logo'!$B$82</f>
        <v>Rocca elox (lewa i prawa) + Varna elox (góra i dół)</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czarny matowy - maksymalna zalecana długość profilu 1500 mm</v>
      </c>
      <c r="B19">
        <v>2</v>
      </c>
      <c r="C19" t="s">
        <v>651</v>
      </c>
      <c r="D19">
        <v>0</v>
      </c>
      <c r="F19" t="str">
        <f>'Translate&amp;Prices&amp;Logo'!$B$83</f>
        <v>Rocca czarny (lewa i prawa) + Varna czarny (góra i dół)</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czarne  - maksymalna zalecana długość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antracyt mat RAL 7021 mat lakier - maksymalna zalecana długość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maksymalna zalecana długość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Czarny matowy - maksymalna zalecana długość profilu 2500 mm</v>
      </c>
      <c r="B23">
        <v>2</v>
      </c>
      <c r="C23" t="s">
        <v>998</v>
      </c>
      <c r="D23">
        <v>0</v>
      </c>
      <c r="AA23" t="s">
        <v>966</v>
      </c>
      <c r="AB23" t="e">
        <f>IF(Ram_3!AU7=2,"FREEspace","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bialy matowy RAL 9003 - maksymalna zalecana długość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złota - maksymalna zalecana zalecana długość profilu 2150 mm</v>
      </c>
      <c r="B25">
        <v>2</v>
      </c>
      <c r="C25" t="s">
        <v>998</v>
      </c>
      <c r="D25">
        <v>0</v>
      </c>
      <c r="AF25" t="s">
        <v>105</v>
      </c>
      <c r="AG25" t="s">
        <v>980</v>
      </c>
      <c r="ED25" t="s">
        <v>1671</v>
      </c>
      <c r="EE25" t="s">
        <v>3200</v>
      </c>
      <c r="ER25" t="s">
        <v>2167</v>
      </c>
      <c r="ES25" t="s">
        <v>2167</v>
      </c>
    </row>
    <row r="26" spans="1:159">
      <c r="A26" t="str">
        <f>'Translate&amp;Prices&amp;Logo'!$B$22</f>
        <v>Modena (elox.) - maksymalna zalecana długość profilu 2500 mm</v>
      </c>
      <c r="B26">
        <v>2</v>
      </c>
      <c r="C26" t="s">
        <v>651</v>
      </c>
      <c r="D26">
        <v>0</v>
      </c>
      <c r="AF26" t="s">
        <v>106</v>
      </c>
      <c r="AG26" t="s">
        <v>980</v>
      </c>
      <c r="ED26" t="s">
        <v>1672</v>
      </c>
      <c r="EE26" t="s">
        <v>3201</v>
      </c>
      <c r="ER26" t="s">
        <v>2168</v>
      </c>
      <c r="ES26" t="s">
        <v>2168</v>
      </c>
    </row>
    <row r="27" spans="1:159">
      <c r="A27" t="str">
        <f>'Translate&amp;Prices&amp;Logo'!$B$23</f>
        <v>Modena Czarny matowy - maksymalna zalecana długość profilu 2500 mm</v>
      </c>
      <c r="B27">
        <v>2</v>
      </c>
      <c r="C27" t="s">
        <v>651</v>
      </c>
      <c r="D27">
        <v>0</v>
      </c>
      <c r="AF27" t="s">
        <v>105</v>
      </c>
      <c r="AG27" t="s">
        <v>981</v>
      </c>
      <c r="ED27" t="s">
        <v>1673</v>
      </c>
      <c r="EE27" t="s">
        <v>3203</v>
      </c>
      <c r="ER27" t="s">
        <v>2169</v>
      </c>
      <c r="ES27" t="s">
        <v>2169</v>
      </c>
    </row>
    <row r="28" spans="1:159">
      <c r="A28" t="str">
        <f>'Translate&amp;Prices&amp;Logo'!$B$25</f>
        <v>Modena czarna szczotka - maksymalna zalecana długość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LIJA - maksymalna zalecana długość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brąz - maksymalna zalecana długość profilu 2500 mm</v>
      </c>
      <c r="B30">
        <v>2</v>
      </c>
      <c r="C30" t="s">
        <v>651</v>
      </c>
      <c r="D30">
        <v>0</v>
      </c>
      <c r="AA30" t="s">
        <v>976</v>
      </c>
      <c r="AB30" t="str">
        <f>CONCATENATE('Translate&amp;Prices&amp;Logo'!B666,"_K12")</f>
        <v>dolny_K12</v>
      </c>
      <c r="AC30">
        <v>1</v>
      </c>
      <c r="AD30">
        <v>0</v>
      </c>
      <c r="AF30" t="s">
        <v>106</v>
      </c>
      <c r="AG30" t="s">
        <v>982</v>
      </c>
      <c r="ED30" t="s">
        <v>1676</v>
      </c>
      <c r="EE30" t="s">
        <v>3206</v>
      </c>
      <c r="ER30" t="s">
        <v>2459</v>
      </c>
      <c r="ES30" t="s">
        <v>2459</v>
      </c>
    </row>
    <row r="31" spans="1:159">
      <c r="A31" t="str">
        <f>'Translate&amp;Prices&amp;Logo'!$B$29</f>
        <v>Pisa (elox.) - maksymalna zalecana długość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biały matowy RAL 9003 - maksymalna zalecana zalecana długość profilu 2500 mm</v>
      </c>
      <c r="B32">
        <v>2</v>
      </c>
      <c r="C32" t="s">
        <v>998</v>
      </c>
      <c r="D32">
        <v>0</v>
      </c>
      <c r="AA32" t="s">
        <v>976</v>
      </c>
      <c r="AB32" t="str">
        <f>CONCATENATE('Translate&amp;Prices&amp;Logo'!B666,"_kraby")</f>
        <v>dolny_kraby</v>
      </c>
      <c r="AC32">
        <v>1</v>
      </c>
      <c r="AD32">
        <v>0</v>
      </c>
      <c r="AF32" t="s">
        <v>106</v>
      </c>
      <c r="AG32" t="s">
        <v>983</v>
      </c>
      <c r="BY32" t="str">
        <f>'Translate&amp;Prices&amp;Logo'!$B$232</f>
        <v>W lewo</v>
      </c>
      <c r="BZ32" t="str">
        <f>'Translate&amp;Prices&amp;Logo'!$B$244&amp;" "&amp;'Translate&amp;Prices&amp;Logo'!$B$593</f>
        <v>Odległość od lewej krawędzi (górnej)</v>
      </c>
      <c r="CA32" t="str">
        <f>'Translate&amp;Prices&amp;Logo'!$B$244&amp;" "&amp;'Translate&amp;Prices&amp;Logo'!$B$591</f>
        <v>Odległość od lewej krawędzi (dolnej)</v>
      </c>
      <c r="CC32" t="s">
        <v>4537</v>
      </c>
      <c r="CD32" t="s">
        <v>4532</v>
      </c>
      <c r="ED32" t="s">
        <v>1678</v>
      </c>
      <c r="EE32" t="s">
        <v>3208</v>
      </c>
      <c r="ER32" t="s">
        <v>2461</v>
      </c>
      <c r="ES32" t="s">
        <v>2461</v>
      </c>
    </row>
    <row r="33" spans="1:149">
      <c r="A33" t="str">
        <f>'Translate&amp;Prices&amp;Logo'!$B$53</f>
        <v>Pisa biały połysk RAL 9003 - maksymalna zalecana zalecana długość profilu 2500 mm</v>
      </c>
      <c r="B33">
        <v>2</v>
      </c>
      <c r="C33" t="s">
        <v>998</v>
      </c>
      <c r="D33">
        <v>0</v>
      </c>
      <c r="AA33" t="s">
        <v>976</v>
      </c>
      <c r="AB33" t="s">
        <v>980</v>
      </c>
      <c r="AC33">
        <v>1</v>
      </c>
      <c r="AD33">
        <v>0</v>
      </c>
      <c r="AF33" t="s">
        <v>105</v>
      </c>
      <c r="AG33" t="s">
        <v>985</v>
      </c>
      <c r="BY33" t="str">
        <f>'Translate&amp;Prices&amp;Logo'!$B$231</f>
        <v>W prawo</v>
      </c>
      <c r="BZ33" t="str">
        <f>'Translate&amp;Prices&amp;Logo'!$B$645&amp;" "&amp;'Translate&amp;Prices&amp;Logo'!$B$593</f>
        <v>Odległość od prawej krawędzi (górnej)</v>
      </c>
      <c r="CA33" t="str">
        <f>'Translate&amp;Prices&amp;Logo'!$B$645&amp;" "&amp;'Translate&amp;Prices&amp;Logo'!$B$591</f>
        <v>Odległość od prawej krawędzi (dolnej)</v>
      </c>
      <c r="CC33" t="s">
        <v>4540</v>
      </c>
      <c r="CD33" t="s">
        <v>4538</v>
      </c>
      <c r="ED33" t="s">
        <v>1679</v>
      </c>
      <c r="EE33" t="s">
        <v>3209</v>
      </c>
      <c r="ER33" t="s">
        <v>2462</v>
      </c>
      <c r="ES33" t="s">
        <v>2462</v>
      </c>
    </row>
    <row r="34" spans="1:149">
      <c r="A34" t="str">
        <f>'Translate&amp;Prices&amp;Logo'!$B$30</f>
        <v>Pisa Czarny matowy - maksymalna zalecana długość profilu 2500 mm</v>
      </c>
      <c r="B34">
        <v>2</v>
      </c>
      <c r="C34" t="s">
        <v>998</v>
      </c>
      <c r="D34">
        <v>0</v>
      </c>
      <c r="AA34" t="s">
        <v>976</v>
      </c>
      <c r="AB34" t="s">
        <v>981</v>
      </c>
      <c r="AC34">
        <v>1</v>
      </c>
      <c r="AD34">
        <v>0</v>
      </c>
      <c r="AF34" t="s">
        <v>106</v>
      </c>
      <c r="AG34" t="s">
        <v>985</v>
      </c>
      <c r="BY34" t="str">
        <f>'Translate&amp;Prices&amp;Logo'!$B$229</f>
        <v>W górę</v>
      </c>
      <c r="BZ34" t="str">
        <f>'Translate&amp;Prices&amp;Logo'!$B$674&amp;" "&amp;'Translate&amp;Prices&amp;Logo'!$B$592</f>
        <v>Odległość od górnej krawędzi (lewej)</v>
      </c>
      <c r="CA34" t="str">
        <f>'Translate&amp;Prices&amp;Logo'!$B$674&amp;" "&amp;'Translate&amp;Prices&amp;Logo'!$B$594</f>
        <v>Odległość od górnej krawędzi (prawej)</v>
      </c>
      <c r="CC34" t="s">
        <v>4534</v>
      </c>
      <c r="CD34" t="s">
        <v>4536</v>
      </c>
      <c r="ED34" t="s">
        <v>1680</v>
      </c>
      <c r="EE34" t="s">
        <v>3210</v>
      </c>
      <c r="ER34" t="s">
        <v>2170</v>
      </c>
      <c r="ES34" t="s">
        <v>2170</v>
      </c>
    </row>
    <row r="35" spans="1:149">
      <c r="A35" t="str">
        <f>'Translate&amp;Prices&amp;Logo'!$B$58</f>
        <v>Pisa złota - maksymalna zalecana długość profilu 2150 mm</v>
      </c>
      <c r="B35">
        <v>2</v>
      </c>
      <c r="C35" t="s">
        <v>998</v>
      </c>
      <c r="D35">
        <v>0</v>
      </c>
      <c r="BY35" t="str">
        <f>'Translate&amp;Prices&amp;Logo'!$B$230</f>
        <v>W dół</v>
      </c>
      <c r="BZ35" t="str">
        <f>'Translate&amp;Prices&amp;Logo'!$B$675&amp;" "&amp;'Translate&amp;Prices&amp;Logo'!$B$592</f>
        <v>Odległość od dolnej krawędzi (lewej)</v>
      </c>
      <c r="CA35" t="str">
        <f>'Translate&amp;Prices&amp;Logo'!$B$675&amp;" "&amp;'Translate&amp;Prices&amp;Logo'!$B$594</f>
        <v>Odległość od dolnej krawędzi (prawej)</v>
      </c>
      <c r="CC35" t="s">
        <v>4533</v>
      </c>
      <c r="CD35" t="s">
        <v>4535</v>
      </c>
      <c r="ED35" t="s">
        <v>1681</v>
      </c>
      <c r="EE35" t="s">
        <v>1775</v>
      </c>
      <c r="ER35" t="s">
        <v>2171</v>
      </c>
      <c r="ES35" t="s">
        <v>2171</v>
      </c>
    </row>
    <row r="36" spans="1:149">
      <c r="A36" t="str">
        <f>'Translate&amp;Prices&amp;Logo'!$B$66</f>
        <v>Rimini elox naturalna - maksymalna długość profilu 1100 mm</v>
      </c>
      <c r="B36">
        <v>1</v>
      </c>
      <c r="C36" t="s">
        <v>651</v>
      </c>
      <c r="D36">
        <v>0</v>
      </c>
      <c r="ED36" t="s">
        <v>1620</v>
      </c>
      <c r="EE36" t="s">
        <v>1776</v>
      </c>
      <c r="ER36" t="s">
        <v>2172</v>
      </c>
      <c r="ES36" t="s">
        <v>2172</v>
      </c>
    </row>
    <row r="37" spans="1:149">
      <c r="A37" t="str">
        <f>'Translate&amp;Prices&amp;Logo'!$B$67</f>
        <v>Rimini czarny mat - maksymalna długość profilu 1100 mm</v>
      </c>
      <c r="B37">
        <v>1</v>
      </c>
      <c r="C37" t="s">
        <v>651</v>
      </c>
      <c r="D37">
        <v>0</v>
      </c>
      <c r="BY37" t="s">
        <v>1332</v>
      </c>
      <c r="ED37" t="s">
        <v>1621</v>
      </c>
      <c r="EE37" t="s">
        <v>1777</v>
      </c>
      <c r="ER37" t="s">
        <v>2215</v>
      </c>
      <c r="ES37" t="s">
        <v>2209</v>
      </c>
    </row>
    <row r="38" spans="1:149">
      <c r="A38" t="str">
        <f>'Translate&amp;Prices&amp;Logo'!$B$68</f>
        <v>Rimini champagne - maksymalna długość profilu 1100 mm</v>
      </c>
      <c r="B38">
        <v>1</v>
      </c>
      <c r="C38" t="s">
        <v>651</v>
      </c>
      <c r="D38">
        <v>0</v>
      </c>
      <c r="ED38" t="s">
        <v>1622</v>
      </c>
      <c r="EE38" t="s">
        <v>1778</v>
      </c>
      <c r="ER38" t="s">
        <v>2216</v>
      </c>
      <c r="ES38" t="s">
        <v>2210</v>
      </c>
    </row>
    <row r="39" spans="1:149">
      <c r="A39" t="str">
        <f>'Translate&amp;Prices&amp;Logo'!$B$69</f>
        <v>Rimini zlota - maksymalna długość profilu 1100 mm</v>
      </c>
      <c r="B39">
        <v>1</v>
      </c>
      <c r="C39" t="s">
        <v>651</v>
      </c>
      <c r="D39">
        <v>0</v>
      </c>
      <c r="AA39" t="s">
        <v>2500</v>
      </c>
      <c r="AB39" t="s">
        <v>2498</v>
      </c>
      <c r="ED39" t="s">
        <v>1623</v>
      </c>
      <c r="EE39" t="s">
        <v>1779</v>
      </c>
      <c r="ER39" t="s">
        <v>2217</v>
      </c>
      <c r="ES39" t="s">
        <v>2211</v>
      </c>
    </row>
    <row r="40" spans="1:149">
      <c r="A40" t="str">
        <f>'Translate&amp;Prices&amp;Logo'!$B$70</f>
        <v>Rimini zlota szczotkowana - maksymalna długość profilu 1100 mm</v>
      </c>
      <c r="B40">
        <v>1</v>
      </c>
      <c r="C40" t="s">
        <v>651</v>
      </c>
      <c r="D40">
        <v>0</v>
      </c>
      <c r="AA40" t="s">
        <v>2500</v>
      </c>
      <c r="AB40" t="str">
        <f>'Translate&amp;Prices&amp;Logo'!B661</f>
        <v>StrongLift_gorny</v>
      </c>
      <c r="AC40">
        <v>1</v>
      </c>
      <c r="AD40">
        <v>0</v>
      </c>
      <c r="ED40" t="s">
        <v>1624</v>
      </c>
      <c r="EE40" t="s">
        <v>1780</v>
      </c>
      <c r="ER40" t="s">
        <v>2218</v>
      </c>
      <c r="ES40" t="s">
        <v>2212</v>
      </c>
    </row>
    <row r="41" spans="1:149">
      <c r="A41" t="str">
        <f>'Translate&amp;Prices&amp;Logo'!$B$50</f>
        <v>Rocca (elox.) - maksymalna zalecana zalecana długość profilu 2150 mm</v>
      </c>
      <c r="B41">
        <v>1</v>
      </c>
      <c r="C41" t="s">
        <v>651</v>
      </c>
      <c r="D41">
        <v>0</v>
      </c>
      <c r="AB41" t="str">
        <f>'Translate&amp;Prices&amp;Logo'!B662</f>
        <v>StrongLift_dolny</v>
      </c>
      <c r="AC41">
        <v>1</v>
      </c>
      <c r="AD41">
        <v>0</v>
      </c>
      <c r="ED41" t="s">
        <v>1625</v>
      </c>
      <c r="EE41" t="s">
        <v>1781</v>
      </c>
      <c r="ER41" t="s">
        <v>2219</v>
      </c>
      <c r="ES41" t="s">
        <v>2213</v>
      </c>
    </row>
    <row r="42" spans="1:149">
      <c r="A42" t="str">
        <f>'Translate&amp;Prices&amp;Logo'!$B$42</f>
        <v>Rocca czarny matowy - maksymalna zalecana zalecana długość profilu 2150 mm</v>
      </c>
      <c r="B42">
        <v>1</v>
      </c>
      <c r="C42" t="s">
        <v>651</v>
      </c>
      <c r="D42">
        <v>0</v>
      </c>
      <c r="AA42" t="s">
        <v>2082</v>
      </c>
      <c r="AB42" t="s">
        <v>1010</v>
      </c>
      <c r="ED42" t="s">
        <v>1626</v>
      </c>
      <c r="EE42" t="s">
        <v>1782</v>
      </c>
      <c r="ER42" t="s">
        <v>2220</v>
      </c>
      <c r="ES42" t="s">
        <v>2214</v>
      </c>
    </row>
    <row r="43" spans="1:149">
      <c r="A43" t="str">
        <f>'Translate&amp;Prices&amp;Logo'!$B$63</f>
        <v>Treviso czarny matowy - maksymalna zalecana długość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maksymalna zalecana zalecana długość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szczotkowany - maksymalna zalecana zalecana długość profilu 2500 mm</v>
      </c>
      <c r="B45">
        <v>1</v>
      </c>
      <c r="C45" t="s">
        <v>651</v>
      </c>
      <c r="D45">
        <v>0</v>
      </c>
      <c r="AB45" t="s">
        <v>1111</v>
      </c>
      <c r="AC45">
        <v>0</v>
      </c>
      <c r="AD45">
        <v>0</v>
      </c>
      <c r="ED45" t="s">
        <v>1629</v>
      </c>
      <c r="EE45" t="s">
        <v>1785</v>
      </c>
      <c r="ER45" t="s">
        <v>2239</v>
      </c>
      <c r="ES45" t="s">
        <v>2233</v>
      </c>
    </row>
    <row r="46" spans="1:149">
      <c r="A46" t="str">
        <f>'Translate&amp;Prices&amp;Logo'!$B$37</f>
        <v>Verona czarny matowy - maksymalna zalecana zalecana długość profilu 2500 mm</v>
      </c>
      <c r="B46">
        <v>1</v>
      </c>
      <c r="C46" t="s">
        <v>651</v>
      </c>
      <c r="D46">
        <v>0</v>
      </c>
      <c r="ED46" t="s">
        <v>1630</v>
      </c>
      <c r="EE46" t="s">
        <v>1786</v>
      </c>
      <c r="ER46" t="s">
        <v>2240</v>
      </c>
      <c r="ES46" t="s">
        <v>2234</v>
      </c>
    </row>
    <row r="47" spans="1:149">
      <c r="A47" t="str">
        <f>'Translate&amp;Prices&amp;Logo'!$B$36</f>
        <v>Verona czarny połysk - maksymalna zalecana zalecana długość profilu 2500 mm</v>
      </c>
      <c r="B47">
        <v>1</v>
      </c>
      <c r="C47" t="s">
        <v>651</v>
      </c>
      <c r="D47">
        <v>0</v>
      </c>
      <c r="ED47" t="s">
        <v>1631</v>
      </c>
      <c r="EE47" t="s">
        <v>1787</v>
      </c>
      <c r="ER47" t="s">
        <v>2241</v>
      </c>
      <c r="ES47" t="s">
        <v>2235</v>
      </c>
    </row>
    <row r="48" spans="1:149">
      <c r="A48" t="str">
        <f>'Translate&amp;Prices&amp;Logo'!$B$38</f>
        <v>Verona braz - maksymalna zalecana zalecana długość profilu 2500 mm</v>
      </c>
      <c r="B48">
        <v>1</v>
      </c>
      <c r="C48" t="s">
        <v>651</v>
      </c>
      <c r="D48">
        <v>0</v>
      </c>
      <c r="ED48" t="s">
        <v>1632</v>
      </c>
      <c r="EE48" t="s">
        <v>1788</v>
      </c>
      <c r="ER48" t="s">
        <v>2242</v>
      </c>
      <c r="ES48" t="s">
        <v>2236</v>
      </c>
    </row>
    <row r="49" spans="1:149">
      <c r="A49" t="str">
        <f>'Translate&amp;Prices&amp;Logo'!$B$39</f>
        <v>Verona szampański - maksymalna zalecana zalecana długość profilu 2500 mm</v>
      </c>
      <c r="B49">
        <v>1</v>
      </c>
      <c r="C49" t="s">
        <v>651</v>
      </c>
      <c r="D49">
        <v>0</v>
      </c>
      <c r="AA49" t="s">
        <v>2083</v>
      </c>
      <c r="AB49" t="s">
        <v>2085</v>
      </c>
      <c r="ED49" t="s">
        <v>1633</v>
      </c>
      <c r="EE49" t="s">
        <v>1789</v>
      </c>
      <c r="ER49" t="s">
        <v>2243</v>
      </c>
      <c r="ES49" t="s">
        <v>2237</v>
      </c>
    </row>
    <row r="50" spans="1:149">
      <c r="A50" t="str">
        <f>'Translate&amp;Prices&amp;Logo'!$B$40</f>
        <v>Verona Inox szczotkowany (Inox Lija)- maksymalna zalecana zalecana długość profilu 2500 mm</v>
      </c>
      <c r="B50">
        <v>1</v>
      </c>
      <c r="C50" t="s">
        <v>651</v>
      </c>
      <c r="D50">
        <v>0</v>
      </c>
      <c r="AB50" t="s">
        <v>2374</v>
      </c>
      <c r="AC50">
        <v>0</v>
      </c>
      <c r="AD50">
        <v>0</v>
      </c>
      <c r="ED50" t="s">
        <v>1634</v>
      </c>
      <c r="EE50" t="s">
        <v>1790</v>
      </c>
      <c r="ER50" t="s">
        <v>2244</v>
      </c>
      <c r="ES50" t="s">
        <v>2238</v>
      </c>
    </row>
    <row r="51" spans="1:149">
      <c r="A51" t="str">
        <f>'Translate&amp;Prices&amp;Logo'!$B$41</f>
        <v>Verona Acier Gratta - maksymalna zalecana zalecana długość profilu 2500 mm</v>
      </c>
      <c r="B51">
        <v>1</v>
      </c>
      <c r="C51" t="s">
        <v>651</v>
      </c>
      <c r="D51">
        <v>0</v>
      </c>
      <c r="AB51" t="s">
        <v>2376</v>
      </c>
      <c r="AC51">
        <v>0</v>
      </c>
      <c r="AD51">
        <v>0</v>
      </c>
      <c r="ED51" t="s">
        <v>1635</v>
      </c>
      <c r="EE51" t="s">
        <v>1791</v>
      </c>
      <c r="ER51" t="s">
        <v>2473</v>
      </c>
      <c r="ES51" t="s">
        <v>2465</v>
      </c>
    </row>
    <row r="52" spans="1:149">
      <c r="A52" t="str">
        <f>'Translate&amp;Prices&amp;Logo'!$B$62</f>
        <v>Verona Ivory mat - maksymalna zalecana zalecana długość profilu 2150 mm</v>
      </c>
      <c r="B52">
        <v>1</v>
      </c>
      <c r="C52" t="s">
        <v>651</v>
      </c>
      <c r="D52">
        <v>0</v>
      </c>
      <c r="AB52" t="s">
        <v>2371</v>
      </c>
      <c r="AC52">
        <v>0</v>
      </c>
      <c r="AD52">
        <v>0</v>
      </c>
      <c r="ED52" t="s">
        <v>1636</v>
      </c>
      <c r="EE52" t="s">
        <v>1792</v>
      </c>
      <c r="ER52" t="s">
        <v>2474</v>
      </c>
      <c r="ES52" t="s">
        <v>2466</v>
      </c>
    </row>
    <row r="53" spans="1:149">
      <c r="A53" t="str">
        <f>'Translate&amp;Prices&amp;Logo'!$B$65</f>
        <v>Verona kaszmirowy - maksymalna zalecana długość profilu 2150 mm</v>
      </c>
      <c r="B53">
        <v>1</v>
      </c>
      <c r="C53" t="s">
        <v>651</v>
      </c>
      <c r="D53">
        <v>0</v>
      </c>
      <c r="AB53" t="s">
        <v>2372</v>
      </c>
      <c r="AC53">
        <v>0</v>
      </c>
      <c r="AD53">
        <v>0</v>
      </c>
      <c r="ED53" t="s">
        <v>1637</v>
      </c>
      <c r="EE53" t="s">
        <v>1793</v>
      </c>
      <c r="ER53" t="s">
        <v>2475</v>
      </c>
      <c r="ES53" t="s">
        <v>2467</v>
      </c>
    </row>
    <row r="54" spans="1:149">
      <c r="A54" t="str">
        <f>'Translate&amp;Prices&amp;Logo'!$B$24</f>
        <v>Verona złota - maksymalna zalecana długość profilu 2150 mm</v>
      </c>
      <c r="B54">
        <v>1</v>
      </c>
      <c r="C54" t="s">
        <v>651</v>
      </c>
      <c r="D54">
        <v>0</v>
      </c>
      <c r="ED54" t="s">
        <v>1638</v>
      </c>
      <c r="EE54" t="s">
        <v>1794</v>
      </c>
      <c r="ER54" t="s">
        <v>2476</v>
      </c>
      <c r="ES54" t="s">
        <v>2468</v>
      </c>
    </row>
    <row r="55" spans="1:149">
      <c r="A55" t="str">
        <f>'Translate&amp;Prices&amp;Logo'!$B$56</f>
        <v>Verona złota szczotkowany - maksymalna zalecana zalecana długość profilu 2150 mm</v>
      </c>
      <c r="B55">
        <v>1</v>
      </c>
      <c r="C55" t="s">
        <v>651</v>
      </c>
      <c r="D55">
        <v>0</v>
      </c>
      <c r="ED55" t="s">
        <v>1639</v>
      </c>
      <c r="EE55" t="s">
        <v>1795</v>
      </c>
      <c r="ER55" t="s">
        <v>2477</v>
      </c>
      <c r="ES55" t="s">
        <v>2469</v>
      </c>
    </row>
    <row r="56" spans="1:149">
      <c r="A56" t="str">
        <f>'Translate&amp;Prices&amp;Logo'!$B$43</f>
        <v>Vivaro (elox.) - maksymalna zalecana zalecana długość profilu 2500 mm</v>
      </c>
      <c r="B56">
        <v>2</v>
      </c>
      <c r="C56" t="s">
        <v>651</v>
      </c>
      <c r="D56">
        <v>1</v>
      </c>
      <c r="ED56" t="s">
        <v>1640</v>
      </c>
      <c r="EE56" t="s">
        <v>1796</v>
      </c>
      <c r="ER56" t="s">
        <v>2478</v>
      </c>
      <c r="ES56" t="s">
        <v>2470</v>
      </c>
    </row>
    <row r="57" spans="1:149">
      <c r="A57" t="str">
        <f>'Translate&amp;Prices&amp;Logo'!$B$44</f>
        <v>Vivaro czarny matowy - maksymalna zalecana zalecana długość profilu 2500 mm</v>
      </c>
      <c r="B57">
        <v>2</v>
      </c>
      <c r="C57" t="s">
        <v>651</v>
      </c>
      <c r="D57">
        <v>1</v>
      </c>
      <c r="ED57" t="s">
        <v>1641</v>
      </c>
      <c r="EE57" t="s">
        <v>1797</v>
      </c>
      <c r="ER57" t="s">
        <v>2221</v>
      </c>
      <c r="ES57" t="s">
        <v>2209</v>
      </c>
    </row>
    <row r="58" spans="1:149">
      <c r="A58" t="str">
        <f>'Translate&amp;Prices&amp;Logo'!$B$46</f>
        <v>Vivaro INOX LIJA - maksymalna zalecana zalecana długość profilu 2500 mm</v>
      </c>
      <c r="B58">
        <v>2</v>
      </c>
      <c r="C58" t="s">
        <v>651</v>
      </c>
      <c r="D58">
        <v>0</v>
      </c>
      <c r="ED58" t="s">
        <v>1642</v>
      </c>
      <c r="EE58" t="s">
        <v>1798</v>
      </c>
      <c r="ER58" t="s">
        <v>2222</v>
      </c>
      <c r="ES58" t="s">
        <v>2210</v>
      </c>
    </row>
    <row r="59" spans="1:149">
      <c r="A59" t="str">
        <f>'Translate&amp;Prices&amp;Logo'!$B$47</f>
        <v>Vivaro biały matowy RAL 9003 - maksymalna zalecana zalecana długość profilu 2500 mm</v>
      </c>
      <c r="B59">
        <v>2</v>
      </c>
      <c r="C59" t="s">
        <v>651</v>
      </c>
      <c r="D59">
        <v>0</v>
      </c>
      <c r="AA59" t="s">
        <v>2084</v>
      </c>
      <c r="AB59" t="s">
        <v>2086</v>
      </c>
      <c r="ED59" t="s">
        <v>1643</v>
      </c>
      <c r="EE59" t="s">
        <v>1799</v>
      </c>
      <c r="ER59" t="s">
        <v>2223</v>
      </c>
      <c r="ES59" t="s">
        <v>2211</v>
      </c>
    </row>
    <row r="60" spans="1:149">
      <c r="A60" t="str">
        <f>'Translate&amp;Prices&amp;Logo'!$B$48</f>
        <v>Vivaro biały połysk RAL 9003 - maksymalna zalecana zalecana długość profilu 2500 mm</v>
      </c>
      <c r="B60">
        <v>2</v>
      </c>
      <c r="C60" t="s">
        <v>651</v>
      </c>
      <c r="D60">
        <v>0</v>
      </c>
      <c r="AB60" t="s">
        <v>968</v>
      </c>
      <c r="AC60">
        <v>0</v>
      </c>
      <c r="AD60">
        <v>0</v>
      </c>
      <c r="ED60" t="s">
        <v>1644</v>
      </c>
      <c r="EE60" t="s">
        <v>1800</v>
      </c>
      <c r="ER60" t="s">
        <v>2224</v>
      </c>
      <c r="ES60" t="s">
        <v>2212</v>
      </c>
    </row>
    <row r="61" spans="1:149">
      <c r="A61" t="str">
        <f>'Translate&amp;Prices&amp;Logo'!$B$31</f>
        <v>Vivaro złota - maksymalna zalecana zalecana długość profilu 2150 mm</v>
      </c>
      <c r="B61">
        <v>2</v>
      </c>
      <c r="C61" t="s">
        <v>651</v>
      </c>
      <c r="D61">
        <v>1</v>
      </c>
      <c r="AB61" t="s">
        <v>970</v>
      </c>
      <c r="AC61">
        <v>0</v>
      </c>
      <c r="AD61">
        <v>0</v>
      </c>
      <c r="ED61" t="s">
        <v>1645</v>
      </c>
      <c r="EE61" t="s">
        <v>1801</v>
      </c>
      <c r="ER61" t="s">
        <v>2225</v>
      </c>
      <c r="ES61" t="s">
        <v>2213</v>
      </c>
    </row>
    <row r="62" spans="1:149">
      <c r="A62" t="str">
        <f>'Translate&amp;Prices&amp;Logo'!$B$57</f>
        <v>Vivaro złota szczotkowany - maksymalna zalecana zalecana długość profilu 2150 mm</v>
      </c>
      <c r="B62">
        <v>2</v>
      </c>
      <c r="C62" t="s">
        <v>651</v>
      </c>
      <c r="D62">
        <v>0</v>
      </c>
      <c r="AB62" t="s">
        <v>971</v>
      </c>
      <c r="AC62">
        <v>0</v>
      </c>
      <c r="AD62">
        <v>0</v>
      </c>
      <c r="ED62" t="s">
        <v>1646</v>
      </c>
      <c r="EE62" t="s">
        <v>1802</v>
      </c>
      <c r="ER62" t="s">
        <v>2226</v>
      </c>
      <c r="ES62" t="s">
        <v>2214</v>
      </c>
    </row>
    <row r="63" spans="1:149">
      <c r="A63" t="str">
        <f>'Translate&amp;Prices&amp;Logo'!$B$82</f>
        <v>Rocca elox (lewa i prawa) + Varna elox (góra i dół)</v>
      </c>
      <c r="B63">
        <v>3</v>
      </c>
      <c r="C63" t="s">
        <v>651</v>
      </c>
      <c r="D63">
        <v>0</v>
      </c>
      <c r="AB63" t="s">
        <v>973</v>
      </c>
      <c r="AC63">
        <v>0</v>
      </c>
      <c r="AD63">
        <v>0</v>
      </c>
      <c r="ED63" t="s">
        <v>1647</v>
      </c>
      <c r="EE63" t="s">
        <v>1803</v>
      </c>
      <c r="ER63" t="s">
        <v>2479</v>
      </c>
      <c r="ES63" t="s">
        <v>2463</v>
      </c>
    </row>
    <row r="64" spans="1:149">
      <c r="A64" t="str">
        <f>'Translate&amp;Prices&amp;Logo'!$B$83</f>
        <v>Rocca czarny (lewa i prawa) + Varna czarny (góra i dół)</v>
      </c>
      <c r="B64">
        <v>3</v>
      </c>
      <c r="C64" t="s">
        <v>651</v>
      </c>
      <c r="D64">
        <v>0</v>
      </c>
      <c r="ED64" t="s">
        <v>1648</v>
      </c>
      <c r="EE64" t="s">
        <v>1804</v>
      </c>
      <c r="ER64" t="s">
        <v>2480</v>
      </c>
      <c r="ES64" t="s">
        <v>2464</v>
      </c>
    </row>
    <row r="65" spans="1:149">
      <c r="A65" t="str">
        <f>'Translate&amp;Prices&amp;Logo'!$B$73</f>
        <v>ROMA czarna matowa -  maksymalna zalecana długość profilu 2696 mm</v>
      </c>
      <c r="B65">
        <v>1</v>
      </c>
      <c r="C65" t="s">
        <v>651</v>
      </c>
      <c r="D65">
        <v>0</v>
      </c>
      <c r="ED65" t="s">
        <v>1682</v>
      </c>
      <c r="EE65" t="s">
        <v>3183</v>
      </c>
      <c r="EF65">
        <f>LEN(EE65)</f>
        <v>71</v>
      </c>
      <c r="ER65" t="s">
        <v>2245</v>
      </c>
      <c r="ES65" t="s">
        <v>2233</v>
      </c>
    </row>
    <row r="66" spans="1:149">
      <c r="A66" t="str">
        <f>'Translate&amp;Prices&amp;Logo'!$B$74</f>
        <v>ROMA champagne mat - maksymalna zalecana długość profilu 2696 mm</v>
      </c>
      <c r="B66">
        <v>1</v>
      </c>
      <c r="C66" t="s">
        <v>651</v>
      </c>
      <c r="D66">
        <v>0</v>
      </c>
      <c r="ED66" t="s">
        <v>1683</v>
      </c>
      <c r="EE66" t="s">
        <v>3186</v>
      </c>
      <c r="ER66" t="s">
        <v>2246</v>
      </c>
      <c r="ES66" t="s">
        <v>2234</v>
      </c>
    </row>
    <row r="67" spans="1:149">
      <c r="A67" t="str">
        <f>'Translate&amp;Prices&amp;Logo'!$B$75</f>
        <v>ROMA GRIP czarna matowa - maksymalna zalecana długość profilu 2696 mm</v>
      </c>
      <c r="B67">
        <v>1</v>
      </c>
      <c r="C67" t="s">
        <v>651</v>
      </c>
      <c r="D67">
        <v>0</v>
      </c>
      <c r="Q67" t="str">
        <f>'Translate&amp;Prices&amp;Logo'!$B$71</f>
        <v>BRW champagne - maksymalna zalecana długość profilu 2500 mm</v>
      </c>
      <c r="ED67" t="s">
        <v>1684</v>
      </c>
      <c r="EE67" t="s">
        <v>3188</v>
      </c>
      <c r="ER67" t="s">
        <v>2247</v>
      </c>
      <c r="ES67" t="s">
        <v>2235</v>
      </c>
    </row>
    <row r="68" spans="1:149">
      <c r="A68" t="str">
        <f>'Translate&amp;Prices&amp;Logo'!$B$76</f>
        <v>ROMA GRIP champagne mat - maksymalna zalecana długość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98143E1C-DC15-4632-B3B7-4F5F368253A3}">
            <xm:f>OR(Ram_3!$AU$10=1,Ram_3!$AU$10=3)</xm:f>
            <x14:dxf>
              <fill>
                <patternFill patternType="darkDown"/>
              </fill>
            </x14:dxf>
          </x14:cfRule>
          <xm:sqref>CH13</xm:sqref>
        </x14:conditionalFormatting>
        <x14:conditionalFormatting xmlns:xm="http://schemas.microsoft.com/office/excel/2006/main">
          <x14:cfRule type="expression" priority="2" id="{1C1FE276-0774-473F-9DE1-C22001D0147B}">
            <xm:f>OR(Ram_3!$AU$10=2,Ram_3!$AU$10=3)</xm:f>
            <x14:dxf>
              <fill>
                <patternFill patternType="darkDown"/>
              </fill>
            </x14:dxf>
          </x14:cfRule>
          <xm:sqref>CH14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2A8E-39A8-4DED-8F4C-6FFBF018D0D1}">
  <sheetPr codeName="List15">
    <tabColor rgb="FF00B0F0"/>
    <pageSetUpPr fitToPage="1"/>
  </sheetPr>
  <dimension ref="A1:BM150"/>
  <sheetViews>
    <sheetView showGridLines="0" showRowColHeaders="0" showZeros="0" workbookViewId="0">
      <selection activeCell="AO31" sqref="AO31:AR32"/>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3" width="6.285156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"&amp;4</f>
        <v>Ramka  4</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Wprowadzenie</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IFERROR(IF(kombinace_4!FC2=TRUE,'Translate&amp;Prices&amp;Logo'!B656,IF(VLOOKUP(H8,kombinace_4!$A:$E,5,0)=3,'Translate&amp;Prices&amp;Logo'!B644,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Ramka  1</v>
      </c>
      <c r="C5" s="594"/>
      <c r="D5" s="594"/>
      <c r="E5" s="106"/>
      <c r="F5" s="594" t="str">
        <f>'Translate&amp;Prices&amp;Logo'!$B$171&amp;" "&amp;" "&amp;2</f>
        <v>Ramka  2</v>
      </c>
      <c r="G5" s="594"/>
      <c r="H5" s="594"/>
      <c r="I5" s="9"/>
      <c r="J5" s="594" t="str">
        <f>'Translate&amp;Prices&amp;Logo'!$B$171&amp;" "&amp;" "&amp;3</f>
        <v>Ramka  3</v>
      </c>
      <c r="K5" s="594"/>
      <c r="L5" s="594"/>
      <c r="M5" s="9"/>
      <c r="N5" s="593" t="str">
        <f>'Translate&amp;Prices&amp;Logo'!$B$171&amp;" "&amp;" "&amp;4</f>
        <v>Ramka  4</v>
      </c>
      <c r="O5" s="593"/>
      <c r="P5" s="593"/>
      <c r="Q5" s="9"/>
      <c r="R5" s="594" t="str">
        <f>'Translate&amp;Prices&amp;Logo'!$B$171&amp;" "&amp;" "&amp;5</f>
        <v>Ramka  5</v>
      </c>
      <c r="S5" s="594"/>
      <c r="T5" s="594"/>
      <c r="U5" s="9"/>
      <c r="V5" s="594" t="str">
        <f>'Translate&amp;Prices&amp;Logo'!$B$171&amp;" "&amp;" "&amp;6</f>
        <v>Ramka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Połączenie 2 profili</v>
      </c>
      <c r="C7" s="598"/>
      <c r="D7" s="598"/>
      <c r="E7" s="598"/>
      <c r="F7" s="598"/>
      <c r="G7" s="635" t="str">
        <f>IF(kombinace_4!FC2=TRUE,AB4,"")</f>
        <v/>
      </c>
      <c r="H7" s="635"/>
      <c r="I7" s="635"/>
      <c r="J7" s="635"/>
      <c r="K7" s="635"/>
      <c r="L7" s="635"/>
      <c r="M7" s="635"/>
      <c r="N7" s="635"/>
      <c r="O7" s="635"/>
      <c r="P7" s="635"/>
      <c r="Q7" s="636"/>
      <c r="R7" s="224"/>
      <c r="S7" s="602" t="str">
        <f>'Translate&amp;Prices&amp;Logo'!$B$574</f>
        <v>Ważne informacje: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VLOOKUP(H8,kombinace_4!$A3:$B100,2,0)</f>
        <v>#N/A</v>
      </c>
      <c r="AV7" s="140" t="e">
        <f>IF(AU7=2,"Široký",IF(AU7=1,"Úzký",IF(AU7=3,"kombo")))</f>
        <v>#N/A</v>
      </c>
    </row>
    <row r="8" spans="1:65" ht="45.6" customHeight="1">
      <c r="A8" s="61"/>
      <c r="B8" s="216" t="str">
        <f>'Translate&amp;Prices&amp;Logo'!$B$655</f>
        <v>Wypełnienie z siatki</v>
      </c>
      <c r="C8" s="217"/>
      <c r="D8" s="217"/>
      <c r="E8" s="218" t="str">
        <f>'Translate&amp;Prices&amp;Logo'!$B$174</f>
        <v>Rodzaj profilu</v>
      </c>
      <c r="F8" s="218"/>
      <c r="G8" s="223"/>
      <c r="H8" s="603"/>
      <c r="I8" s="603"/>
      <c r="J8" s="603"/>
      <c r="K8" s="603"/>
      <c r="L8" s="603"/>
      <c r="M8" s="603"/>
      <c r="N8" s="603"/>
      <c r="O8" s="603"/>
      <c r="P8" s="603"/>
      <c r="Q8" s="604"/>
      <c r="R8" s="225"/>
      <c r="S8" s="617" t="str">
        <f>IF(AU10&gt;0,'Translate&amp;Prices&amp;Logo'!B305,IF(OR(H8=kombinace_4!A64,H8=kombinace_4!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Odległość od lewej krawędzi</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IFERROR(IF(AND(VLOOKUP(H8,kombinace_4!$A:$D,4,0)=1,kombinace_4!FC2=FALSE),'Translate&amp;Prices&amp;Logo'!$B$545,0),0)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Rozstaw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IFERROR((VLOOKUP(H12,kombinace_4!$DP$2:$DQ$3,2,0)),"")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Odległość od górnej krawędzi</v>
      </c>
      <c r="AF10" s="9"/>
      <c r="AG10" s="9"/>
      <c r="AH10" s="9"/>
      <c r="AI10" s="60"/>
      <c r="AJ10" s="61"/>
      <c r="AK10" s="9"/>
      <c r="AL10" s="9"/>
      <c r="AM10" s="9"/>
      <c r="AN10" s="9"/>
      <c r="AO10" s="9"/>
      <c r="AP10" s="77"/>
      <c r="AQ10" s="307"/>
      <c r="AR10" s="9"/>
      <c r="AS10" s="9"/>
      <c r="AT10" s="139" t="s">
        <v>1196</v>
      </c>
      <c r="AU10" s="140">
        <f>IFERROR(VLOOKUP(H9,kombinace_4!$BY$13:$BZ$15,2,0),0)</f>
        <v>0</v>
      </c>
      <c r="AV10" s="140"/>
    </row>
    <row r="11" spans="1:65" ht="18" customHeight="1">
      <c r="A11" s="61"/>
      <c r="B11" s="631" t="str">
        <f>('Translate&amp;Prices&amp;Logo'!$B$545)&amp;" "&amp;"("&amp;'Translate&amp;Prices&amp;Logo'!$B$176&amp;")"</f>
        <v>Szprosy (Ilość sztuk)</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IFERROR(IF(kombinace_4!$H$1=TRUE,BA2+AY3,0),0)</f>
        <v>0</v>
      </c>
      <c r="AU11" s="146"/>
      <c r="AV11" s="140"/>
    </row>
    <row r="12" spans="1:65" ht="18" customHeight="1">
      <c r="A12" s="61"/>
      <c r="B12" s="608" t="str">
        <f>'Translate&amp;Prices&amp;Logo'!$B$260</f>
        <v>Typ okucia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Marka okucia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Rozstaw  mm</v>
      </c>
      <c r="AE14" s="647"/>
      <c r="AF14" s="9"/>
      <c r="AG14" s="9"/>
      <c r="AH14" s="9"/>
      <c r="AI14" s="60"/>
      <c r="AJ14" s="61"/>
      <c r="AK14" s="9"/>
      <c r="AL14" s="9"/>
      <c r="AM14" s="645" t="str">
        <f>('Translate&amp;Prices&amp;Logo'!$B$550)&amp;" "&amp;H26&amp;" "&amp;"mm"</f>
        <v>Rozstaw  mm</v>
      </c>
      <c r="AN14" s="9"/>
      <c r="AO14" s="81"/>
      <c r="AP14" s="74"/>
      <c r="AQ14" s="307"/>
      <c r="AR14" s="585"/>
      <c r="AS14" s="9"/>
      <c r="AT14" s="146"/>
      <c r="AU14" s="140"/>
      <c r="AV14" s="140"/>
      <c r="AW14" s="165" t="s">
        <v>2197</v>
      </c>
    </row>
    <row r="15" spans="1:65" ht="18" customHeight="1" thickBot="1">
      <c r="A15" s="61"/>
      <c r="B15" s="608" t="str">
        <f>'Translate&amp;Prices&amp;Logo'!$B$547</f>
        <v>Wariant okucia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IF(H15=kombinace_4!AB40,'Translate&amp;Prices&amp;Logo'!$B$226,IF(H15=kombinace_4!AB41,'Translate&amp;Prices&amp;Logo'!$B$226,IF(H12='závěsy dle výklopu'!BQ2,'Translate&amp;Prices&amp;Logo'!$B$224,'Translate&amp;Prices&amp;Logo'!$B$220)))</f>
        <v>Wybierz pozycję ramki</v>
      </c>
      <c r="C16" s="630"/>
      <c r="D16" s="630"/>
      <c r="E16" s="630"/>
      <c r="F16" s="628"/>
      <c r="G16" s="628"/>
      <c r="H16" s="628"/>
      <c r="I16" s="628"/>
      <c r="J16" s="624" t="str">
        <f>IF(OR(H15=kombinace_4!AB40,H15=kombinace_4!AB7,H15=kombinace_4!AB15,H15=kombinace_4!AB20,H15=kombinace_4!AB21,H15=kombinace_4!AB22),'Translate&amp;Prices&amp;Logo'!$B$228,IF(H15=kombinace_4!AB41,'Translate&amp;Prices&amp;Logo'!$B$228,'Translate&amp;Prices&amp;Logo'!$B$234))</f>
        <v>Rodzaj drugiej ramki</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IF(H12='Translate&amp;Prices&amp;Logo'!B553,'Translate&amp;Prices&amp;Logo'!B240,IF(H15=kombinace_4!AB8,'Translate&amp;Prices&amp;Logo'!B286,0))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IF(H13="Salice",VLOOKUP(H17,kombinace_4!$BY:$BZ,2,0),0)</f>
        <v>0</v>
      </c>
    </row>
    <row r="18" spans="1:52" ht="18" customHeight="1">
      <c r="A18" s="61"/>
      <c r="B18" s="608">
        <f>IFERROR(IF(VLOOKUP(H15,kombinace_4!CD:CE,2,0)=1,'Translate&amp;Prices&amp;Logo'!$B$549,0),0)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IFERROR(IF(H12='Translate&amp;Prices&amp;Logo'!B553,'Translate&amp;Prices&amp;Logo'!$B$225,IF(VLOOKUP(H15,kombinace_4!CD:CE,2,0)=1,'Translate&amp;Prices&amp;Logo'!$B$225,)),0)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Odległość od dolnej krawędzi</v>
      </c>
      <c r="AM19" s="645"/>
      <c r="AN19" s="584">
        <v>0</v>
      </c>
      <c r="AO19" s="584"/>
      <c r="AP19" s="76"/>
      <c r="AQ19" s="307"/>
      <c r="AR19" s="583" t="str">
        <f>'Translate&amp;Prices&amp;Logo'!$B$178</f>
        <v>Wysokość</v>
      </c>
      <c r="AS19" s="9"/>
      <c r="AT19" s="146"/>
      <c r="AU19" s="138">
        <f>IFERROR(IF(H12='závěsy dle výklopu'!BR2,VLOOKUP(H15,kombinace_4!$CD$3:$CF$18,3,0),IF(H12='závěsy dle výklopu'!BQ2,1,0)),0)</f>
        <v>0</v>
      </c>
      <c r="AV19" s="140">
        <f>IFERROR(VLOOKUP(H15,kombinace_4!$CD:$CF,3,0),0)</f>
        <v>0</v>
      </c>
    </row>
    <row r="20" spans="1:52" ht="18" customHeight="1">
      <c r="A20" s="61"/>
      <c r="B20" s="633">
        <f>IF(H13&lt;&gt;"Salice",(IFERROR(VLOOKUP(H17,kombinace_4!$BY$32:$CA$35,2,0),0)),0)</f>
        <v>0</v>
      </c>
      <c r="C20" s="634"/>
      <c r="D20" s="634"/>
      <c r="E20" s="634"/>
      <c r="F20" s="620">
        <v>100</v>
      </c>
      <c r="G20" s="620"/>
      <c r="H20" s="620"/>
      <c r="I20" s="620"/>
      <c r="J20" s="634">
        <f>IFERROR(VLOOKUP(H17,kombinace_4!$BY$32:$CA$35,3,0),0)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IF(kombinace_4!FC2=FALSE,'Translate&amp;Prices&amp;Logo'!$B$175," ")</f>
        <v>Rodzaj szkła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Nie zmieniaj po wybraniu rodzaj szkła/siatka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VLOOKUP(H17,kombinace_4!$BY$3:$BZ$6,2,0)</f>
        <v>#N/A</v>
      </c>
      <c r="AV23" s="140"/>
    </row>
    <row r="24" spans="1:52" ht="18" customHeight="1">
      <c r="A24" s="61"/>
      <c r="B24" s="669" t="str">
        <f>'Translate&amp;Prices&amp;Logo'!$B$564</f>
        <v>Rodzaj folii</v>
      </c>
      <c r="C24" s="670"/>
      <c r="D24" s="670"/>
      <c r="E24" s="670"/>
      <c r="F24" s="670"/>
      <c r="G24" s="98"/>
      <c r="H24" s="590"/>
      <c r="I24" s="590"/>
      <c r="J24" s="590"/>
      <c r="K24" s="590"/>
      <c r="L24" s="590"/>
      <c r="M24" s="590"/>
      <c r="N24" s="590"/>
      <c r="O24" s="590"/>
      <c r="P24" s="590"/>
      <c r="Q24" s="607"/>
      <c r="R24" s="61"/>
      <c r="S24" s="602" t="str">
        <f>'Translate&amp;Prices&amp;Logo'!$B$179</f>
        <v>Uwagi (notatki)</v>
      </c>
      <c r="T24" s="602"/>
      <c r="U24" s="602"/>
      <c r="Z24" s="80"/>
      <c r="AA24" s="78"/>
      <c r="AB24" s="79"/>
      <c r="AC24" s="600" t="str">
        <f>'Translate&amp;Prices&amp;Logo'!$B$244</f>
        <v>Odległość od lewej krawędzi</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Rodzaj szkła/siatka</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Rozstaw  mm</v>
      </c>
      <c r="AG25" s="599"/>
      <c r="AH25" s="599"/>
      <c r="AI25" s="599"/>
      <c r="AJ25" s="599"/>
      <c r="AK25" s="599"/>
      <c r="AL25" s="644"/>
      <c r="AM25" s="601"/>
      <c r="AN25" s="9"/>
      <c r="AO25" s="80"/>
      <c r="AP25" s="83"/>
      <c r="AQ25" s="307"/>
      <c r="AR25" s="9"/>
      <c r="AS25" s="9"/>
      <c r="AT25" s="146"/>
      <c r="AU25" s="140" t="e">
        <f>VLOOKUP(H27,kombinace_4!$BY3:$BZ6,2,0)</f>
        <v>#N/A</v>
      </c>
      <c r="AV25" s="140"/>
    </row>
    <row r="26" spans="1:52" ht="18" customHeight="1">
      <c r="A26" s="61"/>
      <c r="B26" s="608" t="str">
        <f>'Translate&amp;Prices&amp;Logo'!$B$551</f>
        <v>Rozstaw uchwytu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Umieszczenie uchwytu</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Ilość sztuk</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VLOOKUP(H14,kombinace_4!$DN$7:$DO$24,2,0)</f>
        <v>#N/A</v>
      </c>
      <c r="AB29" s="643">
        <f>IF(kombinace_4!FC2=TRUE,AB4,IF(H12='závěsy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ramek</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zl</v>
      </c>
      <c r="Q30" s="659"/>
      <c r="R30" s="61"/>
      <c r="S30" s="652"/>
      <c r="T30" s="653"/>
      <c r="U30" s="653"/>
      <c r="V30" s="653"/>
      <c r="W30" s="653"/>
      <c r="X30" s="653"/>
      <c r="Y30" s="654"/>
      <c r="Z30" s="9"/>
      <c r="AA30" s="9"/>
      <c r="AB30" s="61"/>
      <c r="AC30" s="9"/>
      <c r="AD30" s="9"/>
      <c r="AE30" s="9"/>
      <c r="AF30" s="642" t="str">
        <f>'Translate&amp;Prices&amp;Logo'!$B$177</f>
        <v>Szerokość</v>
      </c>
      <c r="AG30" s="642"/>
      <c r="AH30" s="642"/>
      <c r="AI30" s="637"/>
      <c r="AJ30" s="637"/>
      <c r="AK30" s="637"/>
      <c r="AL30" s="9"/>
      <c r="AM30" s="9"/>
      <c r="AN30" s="9"/>
      <c r="AO30" s="9"/>
      <c r="AP30" s="9"/>
      <c r="AQ30" s="9"/>
      <c r="AR30" s="9"/>
      <c r="AS30" s="9"/>
      <c r="AT30" s="146"/>
      <c r="AU30" s="138" t="e">
        <f>HLOOKUP("_Úzký_dolny_K12",kombinace_4!CV2:CW19,3,FALSE)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Podsumowanie</v>
      </c>
      <c r="AP31" s="512"/>
      <c r="AQ31" s="512"/>
      <c r="AR31" s="512"/>
      <c r="AS31" s="9"/>
      <c r="AT31" s="146"/>
      <c r="AU31" s="138" t="e">
        <f>AD44</f>
        <v>#N/A</v>
      </c>
    </row>
    <row r="32" spans="1:52" ht="17.25" customHeight="1">
      <c r="A32" s="61"/>
      <c r="B32" s="625" t="str">
        <f>'Translate&amp;Prices&amp;Logo'!$B$173</f>
        <v>Podane ceny nie zawierają podatku VAT ani nie zawierają ceny okuć!</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Ramki aluminiowe bez szkła dostarczane są w stanie rozmontowanym.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IF(kombinace_4!V1=2,((AR14/1000)*(AI30/1000))*'Translate&amp;Prices&amp;Logo'!C96,0)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IF(kombinace_4!$V$1=3,IFERROR(((VLOOKUP(H24,'Translate&amp;Prices&amp;Logo'!B93:C95,2,0))*(AR14/1000)),0),0)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IF(kombinace_4!FC2=TRUE,_profily_síťka,IF(kombinace_4!H1=TRUE,_kombinovane_profily,_vše_profily))</f>
        <v>BRW (elox.) - maksymalna zalecana długość profilu 2500 mm</v>
      </c>
      <c r="L36" s="157" t="str">
        <f t="array" ref="L36:M36">IF(kombinace_4!H1=TRUE,'závěsy dle výklopu'!$BQ$2:$BR$2,
IF(H8=kombinace_4!A41,'závěsy dle výklopu'!$BQ$2,IF(H8=kombinace_4!A42,'závěsy dle výklopu'!$BQ$2,IF(H8=kombinace_4!A65,'závěsy dle výklopu'!$BQ$2,IF(H8=kombinace_4!A66,'závěsy dle výklopu'!$BQ$2,IF(H8=kombinace_4!A67,'závěsy dle výklopu'!$BQ$2,IF(H8=kombinace_4!A68,'závěsy dle výklopu'!$BQ$2,IF(OR(H8='Translate&amp;Prices&amp;Logo'!B66,H8='Translate&amp;Prices&amp;Logo'!B67,H8='Translate&amp;Prices&amp;Logo'!B68,H8='Translate&amp;Prices&amp;Logo'!B69,H8='Translate&amp;Prices&amp;Logo'!B70),"",'závěsy dle výklopu'!$BQ$2:$BR$2))))))))</f>
        <v>Zawiasy</v>
      </c>
      <c r="M36" s="157" t="str">
        <v>Podnośniki</v>
      </c>
      <c r="P36" s="157" t="str" cm="1">
        <f t="array" ref="P36:P38">IF(H13=kombinace_4!BQ11,kombinace_4!$DN$2,kombinace_4!$DN$2:$DN$4)</f>
        <v>Nakładany</v>
      </c>
      <c r="T36" s="157">
        <f t="array" aca="1" ref="T36:T44" ca="1">IF(H13=kombinace_4!BQ11,
  kombinace_4!$FA$2:$FA$9,
  IF(AND(OR(H8=kombinace_4!A36,H8=kombinace_4!A37),H13='závěsy dle výklopu'!BQ4),
    INDIRECT(VLOOKUP(AD42&amp;"_Rocca",kombinace_4!$ER$1:$ES$108,2,0)),
    IF($AU$9=2,
      INDIRECT(VLOOKUP(AD42,kombinace_4!$ER$1:$ES$108,2,0)),
      IF($AU$9=3,
        INDIRECT(VLOOKUP($T$47,kombinace_4!$AA$1:$AB$100,2,0)),
      $Y$48)
    )
  )
)</f>
        <v>0</v>
      </c>
      <c r="AF36" s="157" t="e">
        <f>HLOOKUP($AD$44,'závěsy dle výklopu'!$CG$4:$EZ$10,2,0)</f>
        <v>#N/A</v>
      </c>
      <c r="AJ36" s="157">
        <f t="array" ref="AJ36:AJ40">IF(AM19&lt;2100,kombinace_4!BY8:BY12,kombinace_4!BY8:BY12)</f>
        <v>2</v>
      </c>
      <c r="AW36" s="248"/>
      <c r="AX36" s="248"/>
      <c r="AY36" s="248"/>
    </row>
    <row r="37" spans="1:58" s="157" customFormat="1" ht="15" hidden="1" customHeight="1">
      <c r="A37" s="140"/>
      <c r="B37" s="157" t="str">
        <v>BRW bialy matowy RAL 9003 - maksymalna zalecana długość profilu 2500 mm</v>
      </c>
      <c r="P37" s="157" t="e">
        <v>#N/A</v>
      </c>
      <c r="T37" s="157">
        <f ca="1"/>
        <v>0</v>
      </c>
      <c r="W37" s="157" t="str" cm="1">
        <f t="array" ref="W37">IF(Hlavní!$V$39=3,"",'Translate&amp;Prices&amp;Logo'!B558:B559)</f>
        <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bialy połysk RAL 9003 - maksymalna zalecana długość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szczotkowany - maksymalna zalecana długość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Czarny matowy - maksymalna zalecana długość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czarna szczotka - maksymalna zalecana długość profilu 2500 mm</v>
      </c>
      <c r="L41" s="157" t="str">
        <v xml:space="preserve">Kesseböhmer </v>
      </c>
      <c r="T41" s="157">
        <f ca="1"/>
        <v>0</v>
      </c>
      <c r="U41" s="157">
        <f>IF(Hlavní!$V$39=3,1,2)</f>
        <v>1</v>
      </c>
      <c r="AE41" s="157">
        <f>AF41</f>
        <v>0</v>
      </c>
      <c r="AH41" s="274"/>
      <c r="AI41" s="275" t="s">
        <v>3460</v>
      </c>
      <c r="AJ41" s="275" t="s">
        <v>3461</v>
      </c>
      <c r="AS41" s="157" t="s">
        <v>1198</v>
      </c>
      <c r="AW41" s="248"/>
      <c r="AX41" s="248"/>
      <c r="AY41" s="248"/>
    </row>
    <row r="42" spans="1:58" s="157" customFormat="1" ht="18.600000000000001" hidden="1" customHeight="1">
      <c r="A42" s="140"/>
      <c r="B42" s="157" t="str">
        <v>BRW INOX ACIER gratta - maksymalna zalecana długość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antracyt RAL 7021 - maksymalna zalecana długość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4!FC2=TRUE,500,AJ43))),"")</f>
        <v/>
      </c>
      <c r="AJ43" s="277" t="str">
        <f>IFERROR((IF(kombinace_4!FC2=TRUE,1000,VLOOKUP(H8,'Translate&amp;Prices&amp;Logo'!B6:U84,20,0))),"")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maksymalna zalecana długość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maksymalna zalecana długość profilu 2500 mm</v>
      </c>
      <c r="M45" s="157" t="s">
        <v>2496</v>
      </c>
      <c r="N45" s="157" t="s">
        <v>1039</v>
      </c>
      <c r="AS45" s="133"/>
      <c r="AW45" s="248"/>
      <c r="AX45" s="248"/>
      <c r="AY45" s="248"/>
    </row>
    <row r="46" spans="1:58" s="157" customFormat="1" ht="14.85" hidden="1" customHeight="1">
      <c r="A46" s="140"/>
      <c r="B46" s="157" t="str">
        <v>BRW brąz - maksymalna zalecana długość profilu 2500 mm</v>
      </c>
      <c r="M46" s="157" t="s">
        <v>4254</v>
      </c>
    </row>
    <row r="47" spans="1:58" s="157" customFormat="1" ht="14.85" hidden="1" customHeight="1">
      <c r="A47" s="140"/>
      <c r="B47" s="157" t="str">
        <v>BRW INOX LIJA - maksymalna zalecana długość profilu 2500 mm</v>
      </c>
      <c r="M47" s="157" t="s">
        <v>4255</v>
      </c>
      <c r="T47" s="157" t="str">
        <f>CONCATENATE(H13,"_",VLOOKUP(kombinace_4!H1,kombinace_4!$J$14:$K$15,2,0))</f>
        <v>_2</v>
      </c>
      <c r="AD47" s="157" t="s">
        <v>4253</v>
      </c>
      <c r="AI47" s="112"/>
      <c r="AJ47" s="270"/>
      <c r="AN47" s="581"/>
      <c r="AO47" s="581"/>
      <c r="AP47" s="581"/>
      <c r="AQ47" s="581"/>
    </row>
    <row r="48" spans="1:58" s="157" customFormat="1" ht="14.85" hidden="1" customHeight="1">
      <c r="A48" s="140"/>
      <c r="B48" s="157" t="str">
        <v>BRW kaszmirowy - maksymalna zalecana długość profilu 2500 mm</v>
      </c>
      <c r="T48" s="157" t="e">
        <f>VLOOKUP(AD42,kombinace_4!ER1:ES120,2,0)</f>
        <v>#N/A</v>
      </c>
      <c r="AS48"/>
      <c r="AT48"/>
    </row>
    <row r="49" spans="1:46" s="157" customFormat="1" ht="14.85" hidden="1" customHeight="1">
      <c r="A49" s="140"/>
      <c r="B49" s="157" t="str">
        <v>BRW złota- maksymalna zalecana długość profilu 2500 mm</v>
      </c>
      <c r="AS49"/>
      <c r="AT49"/>
    </row>
    <row r="50" spans="1:46" s="157" customFormat="1" ht="14.85" hidden="1" customHeight="1">
      <c r="A50" s="140"/>
      <c r="B50" s="157" t="str">
        <v>BRW złota szczotkowany - maksymalna zalecana zalecana długość profilu 2500 mm</v>
      </c>
      <c r="AS50"/>
      <c r="AT50"/>
    </row>
    <row r="51" spans="1:46" s="157" customFormat="1" ht="14.85" hidden="1" customHeight="1">
      <c r="A51" s="140"/>
      <c r="B51" s="157" t="str">
        <v>Corleone (elox.)- maksymalna zalecana długość profilu 1500 mm</v>
      </c>
      <c r="AS51"/>
      <c r="AT51"/>
    </row>
    <row r="52" spans="1:46" s="157" customFormat="1" ht="14.85" hidden="1" customHeight="1">
      <c r="A52" s="140"/>
      <c r="B52" s="157" t="str">
        <v>Corleone czarny matowy - maksymalna zalecana długość profilu 1500 mm</v>
      </c>
      <c r="AS52"/>
      <c r="AT52"/>
    </row>
    <row r="53" spans="1:46" s="157" customFormat="1" ht="14.85" hidden="1" customHeight="1">
      <c r="A53" s="140"/>
      <c r="B53" s="157" t="str">
        <v>ASTI  czarne  - maksymalna zalecana długość profilu 2150</v>
      </c>
      <c r="AS53"/>
      <c r="AT53"/>
    </row>
    <row r="54" spans="1:46" s="157" customFormat="1" ht="14.85" hidden="1" customHeight="1">
      <c r="A54" s="140"/>
      <c r="B54" s="157" t="str">
        <v>ASTI  antracyt mat RAL 7021 mat lakier - maksymalna zalecana długość profilu 2500 mm</v>
      </c>
      <c r="K54" s="157" t="str">
        <f t="array" ref="K54:K58">IF(OR($H$15=kombinace_4!AB40,$H$15=kombinace_4!AB7,$H$15=kombinace_4!AB15,$H$15=kombinace_4!AB20,$H$15=kombinace_4!AB21,$H$15=kombinace_4!AB22),'Translate&amp;Prices&amp;Logo'!$B$231:$B$233,IF($H$15=kombinace_4!AB41,'Translate&amp;Prices&amp;Logo'!$B$231:$B$233,'Translate&amp;Prices&amp;Logo'!$B$235:$B$239))</f>
        <v>Wąska ALU ramka</v>
      </c>
      <c r="T54" s="157" t="str">
        <f t="array" ref="T54:T56">kombinace_4!$EN$3:$EN$5</f>
        <v>Bez modyfikacji</v>
      </c>
      <c r="U54" s="157">
        <v>1</v>
      </c>
      <c r="X54" s="157" t="str">
        <f t="array" ref="X54:X56">kombinace_4!$X$3:$X$5</f>
        <v>transparentna</v>
      </c>
      <c r="AD54" s="157" t="e" cm="1">
        <f t="array" aca="1" ref="AD54" ca="1">IF(kombinace_4!FC2=FALSE,
INDIRECT(kombinace_4!S1),
IF(kombinace_4!FC2=TRUE,INDIRECT(VLOOKUP(Ram_4!H8,'závěsy dle výklopu'!A81:B90,2,0)),0))</f>
        <v>#N/A</v>
      </c>
      <c r="AS54"/>
      <c r="AT54"/>
    </row>
    <row r="55" spans="1:46" s="157" customFormat="1" ht="14.85" hidden="1" customHeight="1">
      <c r="A55" s="140"/>
      <c r="B55" s="157" t="str">
        <v>Imola (elox.) - maksymalna zalecana długość profilu 2500 mm</v>
      </c>
      <c r="K55" s="157" t="str">
        <v>Szeroka ALU ramka</v>
      </c>
      <c r="T55" s="157" t="str">
        <v>Hartowane (termin dostawy 4 tygodnie)</v>
      </c>
      <c r="U55" s="157">
        <v>2</v>
      </c>
      <c r="X55" s="157" t="str">
        <v>Biała</v>
      </c>
      <c r="AS55"/>
      <c r="AT55"/>
    </row>
    <row r="56" spans="1:46" s="157" customFormat="1" ht="14.85" hidden="1" customHeight="1">
      <c r="A56" s="140"/>
      <c r="B56" s="157" t="str">
        <v>Imola Czarny matowy - maksymalna zalecana długość profilu 2500 mm</v>
      </c>
      <c r="K56" s="157" t="str">
        <v>MDF grubość 16mm</v>
      </c>
      <c r="T56" s="157" t="str">
        <v>Folia</v>
      </c>
      <c r="U56" s="157">
        <v>3</v>
      </c>
      <c r="X56" s="157" t="str">
        <v>czarna</v>
      </c>
    </row>
    <row r="57" spans="1:46" s="157" customFormat="1" ht="14.85" hidden="1" customHeight="1">
      <c r="A57" s="140"/>
      <c r="B57" s="157" t="str">
        <v>Imola bialy matowy RAL 9003 - maksymalna zalecana długość profilu 2500 mm</v>
      </c>
      <c r="K57" s="157" t="str">
        <v>MDF grubość 18mm</v>
      </c>
    </row>
    <row r="58" spans="1:46" s="157" customFormat="1" ht="14.85" hidden="1" customHeight="1">
      <c r="A58" s="140"/>
      <c r="B58" s="157" t="str">
        <v>Imola złota - maksymalna zalecana zalecana długość profilu 2150 mm</v>
      </c>
      <c r="K58" s="157" t="str">
        <v>Płyta melaminowana grubość 18mm</v>
      </c>
    </row>
    <row r="59" spans="1:46" s="157" customFormat="1" ht="14.85" hidden="1" customHeight="1">
      <c r="A59" s="140"/>
      <c r="B59" s="157" t="str">
        <v>Modena (elox.) - maksymalna zalecana długość profilu 2500 mm</v>
      </c>
      <c r="T59" s="157">
        <f>IFERROR(VLOOKUP($H$21,$T$54:$U$56,2,0),0)</f>
        <v>0</v>
      </c>
    </row>
    <row r="60" spans="1:46" s="157" customFormat="1" ht="14.85" hidden="1" customHeight="1">
      <c r="A60" s="140"/>
      <c r="B60" s="157" t="str">
        <v>Modena Czarny matowy - maksymalna zalecana długość profilu 2500 mm</v>
      </c>
      <c r="K60" s="157" t="b">
        <f>K56=K61</f>
        <v>0</v>
      </c>
    </row>
    <row r="61" spans="1:46" s="157" customFormat="1" ht="14.85" hidden="1" customHeight="1">
      <c r="A61" s="140"/>
      <c r="B61" s="157" t="str">
        <v>Modena czarna szczotka - maksymalna zalecana długość profilu 2500 mm</v>
      </c>
      <c r="H61" s="157" t="str">
        <f>'Translate&amp;Prices&amp;Logo'!$B$188</f>
        <v>Dolne drzwi</v>
      </c>
      <c r="K61" s="157" t="str">
        <f>'Translate&amp;Prices&amp;Logo'!$B$233</f>
        <v>2 sztuki (obydwie strony)</v>
      </c>
    </row>
    <row r="62" spans="1:46" s="157" customFormat="1" ht="14.85" hidden="1" customHeight="1">
      <c r="A62" s="140"/>
      <c r="B62" s="157" t="str">
        <v>Modena INOX LIJA - maksymalna zalecana długość profilu 2500 mm</v>
      </c>
    </row>
    <row r="63" spans="1:46" s="157" customFormat="1" ht="14.85" hidden="1" customHeight="1">
      <c r="A63" s="140"/>
      <c r="B63" s="157" t="str">
        <v>Modena brąz - maksymalna zalecana długość profilu 2500 mm</v>
      </c>
    </row>
    <row r="64" spans="1:46" s="157" customFormat="1" ht="14.85" hidden="1" customHeight="1">
      <c r="A64" s="140"/>
      <c r="B64" s="157" t="str">
        <v>Pisa (elox.) - maksymalna zalecana długość profilu 2500 mm</v>
      </c>
    </row>
    <row r="65" spans="1:15" s="157" customFormat="1" ht="14.85" hidden="1" customHeight="1">
      <c r="A65" s="140"/>
      <c r="B65" s="157" t="str">
        <v>Pisa biały matowy RAL 9003 - maksymalna zalecana zalecana długość profilu 2500 mm</v>
      </c>
      <c r="H65" s="33" t="str">
        <f>'rozpad závěsů bez prázdn. řádků'!$K$1</f>
        <v>krzyżakowy, wkręt</v>
      </c>
      <c r="I65" s="159">
        <v>6</v>
      </c>
      <c r="J65" s="32" t="e">
        <f>VLOOKUP($H$15,'rozpad závěsů bez prázdn. řádků'!$G$2:$X$66,I65,0)</f>
        <v>#N/A</v>
      </c>
      <c r="O65" s="157" t="str" cm="1">
        <f t="array" ref="O65:O66">IF($H$15=kombinace_4!$AB$40,_strong_vzpera_horni,IF($H$15=kombinace_4!$AB$41,_stronglift_klopna,IF($H$12='závěsy dle výklopu'!$BQ$2,$J$65:$J$71,'Translate&amp;Prices&amp;Logo'!$B$187:$B$188)))</f>
        <v>Górne drzwi</v>
      </c>
    </row>
    <row r="66" spans="1:15" s="157" customFormat="1" ht="14.85" hidden="1" customHeight="1">
      <c r="A66" s="140"/>
      <c r="B66" s="157" t="str">
        <v>Pisa biały połysk RAL 9003 - maksymalna zalecana zalecana długość profilu 2500 mm</v>
      </c>
      <c r="H66" s="33" t="str">
        <f>'rozpad závěsů bez prázdn. řádků'!$M$1</f>
        <v>na wkręt (z mimośrodem)</v>
      </c>
      <c r="I66" s="159">
        <v>8</v>
      </c>
      <c r="J66" s="32" t="e">
        <f>VLOOKUP($H$15,'rozpad závěsů bez prázdn. řádků'!$G$2:$X$66,I66,0)</f>
        <v>#N/A</v>
      </c>
      <c r="O66" s="157" t="str">
        <v>Dolne drzwi</v>
      </c>
    </row>
    <row r="67" spans="1:15" s="157" customFormat="1" ht="14.85" hidden="1" customHeight="1">
      <c r="A67" s="140"/>
      <c r="B67" s="157" t="str">
        <v>Pisa Czarny matowy - maksymalna zalecana długość profilu 2500 mm</v>
      </c>
      <c r="H67" s="33" t="str">
        <f>'rozpad závěsů bez prázdn. řádků'!$O$1</f>
        <v>krzyżakowy eurowkręt</v>
      </c>
      <c r="I67" s="159">
        <v>10</v>
      </c>
      <c r="J67" s="32" t="e">
        <f>VLOOKUP($H$15,'rozpad závěsů bez prázdn. řádků'!$G$2:$X$66,I67,0)</f>
        <v>#N/A</v>
      </c>
    </row>
    <row r="68" spans="1:15" s="157" customFormat="1" ht="14.85" hidden="1" customHeight="1">
      <c r="A68" s="140"/>
      <c r="B68" s="157" t="str">
        <v>Pisa złota - maksymalna zalecana długość profilu 2150 mm</v>
      </c>
      <c r="H68" s="33" t="str">
        <f>'rozpad závěsů bez prázdn. řádků'!$Q$1</f>
        <v>krzyżakowy expando</v>
      </c>
      <c r="I68" s="159">
        <v>12</v>
      </c>
      <c r="J68" s="32" t="e">
        <f>VLOOKUP($H$15,'rozpad závěsů bez prázdn. řádků'!$G$2:$X$66,I68,0)</f>
        <v>#N/A</v>
      </c>
    </row>
    <row r="69" spans="1:15" s="157" customFormat="1" ht="14.85" hidden="1" customHeight="1">
      <c r="A69" s="140"/>
      <c r="B69" s="157" t="str">
        <v>Rimini elox naturalna - maksymalna długość profilu 1100 mm</v>
      </c>
      <c r="H69" s="33" t="str">
        <f>'rozpad závěsů bez prázdn. řádků'!$S$1</f>
        <v>prosty wkręt</v>
      </c>
      <c r="I69" s="159">
        <v>14</v>
      </c>
      <c r="J69" s="32" t="e">
        <f>VLOOKUP($H$15,'rozpad závěsů bez prázdn. řádků'!$G$2:$X$66,I69,0)</f>
        <v>#N/A</v>
      </c>
    </row>
    <row r="70" spans="1:15" s="157" customFormat="1" ht="14.85" hidden="1" customHeight="1">
      <c r="A70" s="140"/>
      <c r="B70" s="157" t="str">
        <v>Rimini czarny mat - maksymalna długość profilu 1100 mm</v>
      </c>
      <c r="H70" s="33" t="str">
        <f>'rozpad závěsů bez prázdn. řádků'!$U$1</f>
        <v>prosty eurowkręt</v>
      </c>
      <c r="I70" s="159">
        <v>16</v>
      </c>
      <c r="J70" s="32" t="e">
        <f>VLOOKUP($H$15,'rozpad závěsů bez prázdn. řádků'!$G$2:$X$66,I70,0)</f>
        <v>#N/A</v>
      </c>
    </row>
    <row r="71" spans="1:15" s="157" customFormat="1" ht="14.85" hidden="1" customHeight="1">
      <c r="A71" s="140"/>
      <c r="B71" s="157" t="str">
        <v>Rimini champagne - maksymalna długość profilu 1100 mm</v>
      </c>
      <c r="H71" s="33" t="str">
        <f>'rozpad závěsů bez prázdn. řádků'!$W$1</f>
        <v>prosty expando</v>
      </c>
      <c r="I71" s="159">
        <v>18</v>
      </c>
      <c r="J71" s="32" t="e">
        <f>VLOOKUP($H$15,'rozpad závěsů bez prázdn. řádků'!$G$2:$X$66,I71,0)</f>
        <v>#N/A</v>
      </c>
    </row>
    <row r="72" spans="1:15" s="157" customFormat="1" ht="14.85" hidden="1" customHeight="1">
      <c r="A72" s="140"/>
      <c r="B72" s="157" t="str">
        <v>Rimini zlota - maksymalna długość profilu 1100 mm</v>
      </c>
    </row>
    <row r="73" spans="1:15" s="157" customFormat="1" ht="14.85" hidden="1" customHeight="1">
      <c r="A73" s="140"/>
      <c r="B73" s="157" t="str">
        <v>Rimini zlota szczotkowana - maksymalna długość profilu 1100 mm</v>
      </c>
    </row>
    <row r="74" spans="1:15" s="157" customFormat="1" ht="14.85" hidden="1" customHeight="1">
      <c r="A74" s="140"/>
      <c r="B74" s="157" t="str">
        <v>Rocca (elox.) - maksymalna zalecana zalecana długość profilu 2150 mm</v>
      </c>
    </row>
    <row r="75" spans="1:15" s="157" customFormat="1" ht="14.85" hidden="1" customHeight="1">
      <c r="A75" s="140"/>
      <c r="B75" s="157" t="str">
        <v>Rocca czarny matowy - maksymalna zalecana zalecana długość profilu 2150 mm</v>
      </c>
    </row>
    <row r="76" spans="1:15" s="157" customFormat="1" ht="14.85" hidden="1" customHeight="1">
      <c r="A76" s="140"/>
      <c r="B76" s="157" t="str">
        <v>Treviso czarny matowy - maksymalna zalecana długość profilu 2750 mm</v>
      </c>
    </row>
    <row r="77" spans="1:15" s="157" customFormat="1" ht="14.85" hidden="1" customHeight="1">
      <c r="A77" s="140"/>
      <c r="B77" s="157" t="str">
        <v>Verona (elox.) - maksymalna zalecana zalecana długość profilu 2500 mm</v>
      </c>
    </row>
    <row r="78" spans="1:15" s="157" customFormat="1" ht="14.85" hidden="1" customHeight="1">
      <c r="A78" s="140"/>
      <c r="B78" s="157" t="str">
        <v>Verona szczotkowany - maksymalna zalecana zalecana długość profilu 2500 mm</v>
      </c>
    </row>
    <row r="79" spans="1:15" s="157" customFormat="1" ht="14.85" hidden="1" customHeight="1">
      <c r="A79" s="140"/>
      <c r="B79" s="157" t="str">
        <v>Verona czarny matowy - maksymalna zalecana zalecana długość profilu 2500 mm</v>
      </c>
    </row>
    <row r="80" spans="1:15" s="157" customFormat="1" ht="14.85" hidden="1" customHeight="1">
      <c r="A80" s="140"/>
      <c r="B80" s="157" t="str">
        <v>Verona czarny połysk - maksymalna zalecana zalecana długość profilu 2500 mm</v>
      </c>
    </row>
    <row r="81" spans="1:38" s="157" customFormat="1" ht="14.85" hidden="1" customHeight="1">
      <c r="A81" s="140"/>
      <c r="B81" s="157" t="str">
        <v>Verona braz - maksymalna zalecana zalecana długość profilu 2500 mm</v>
      </c>
    </row>
    <row r="82" spans="1:38" s="157" customFormat="1" ht="14.85" hidden="1" customHeight="1">
      <c r="A82" s="140"/>
      <c r="B82" s="157" t="str">
        <v>Verona szampański - maksymalna zalecana zalecana długość profilu 2500 mm</v>
      </c>
      <c r="P82" s="157" t="str" cm="1">
        <f t="array" ref="P82:P85">IF(OR(H8=kombinace_4!F18,H8=kombinace_4!F19,H8=kombinace_4!A60,H8=kombinace_4!A61,H8=kombinace_4!A62,H8=kombinace_4!A63),_2_strany,IF(H15=kombinace_4!AB8,_ramena_HL,_4_strany))</f>
        <v>W górę</v>
      </c>
    </row>
    <row r="83" spans="1:38" ht="14.85" hidden="1" customHeight="1">
      <c r="B83" s="138" t="str">
        <v>Verona Inox szczotkowany (Inox Lija)- maksymalna zalecana zalecana długość profilu 2500 mm</v>
      </c>
      <c r="C83" s="140"/>
      <c r="D83" s="140"/>
      <c r="E83" s="140"/>
      <c r="F83" s="140"/>
      <c r="G83" s="140"/>
      <c r="H83" s="140"/>
      <c r="I83" s="140"/>
      <c r="J83" s="140"/>
      <c r="K83" s="140"/>
      <c r="L83" s="140"/>
      <c r="M83" s="140"/>
      <c r="N83" s="140"/>
      <c r="O83" s="138"/>
      <c r="P83" s="140" t="str">
        <v>W dół</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Acier Gratta - maksymalna zalecana zalecana długość profilu 2500 mm</v>
      </c>
      <c r="C84" s="140"/>
      <c r="D84" s="140"/>
      <c r="E84" s="140"/>
      <c r="F84" s="140"/>
      <c r="G84" s="140"/>
      <c r="H84" s="140"/>
      <c r="I84" s="140"/>
      <c r="J84" s="140"/>
      <c r="K84" s="140"/>
      <c r="L84" s="140"/>
      <c r="M84" s="140"/>
      <c r="N84" s="140"/>
      <c r="O84" s="138"/>
      <c r="P84" s="140" t="str">
        <v>W prawo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maksymalna zalecana zalecana długość profilu 2150 mm</v>
      </c>
      <c r="C85" s="140"/>
      <c r="D85" s="140"/>
      <c r="E85" s="140"/>
      <c r="F85" s="140"/>
      <c r="G85" s="140"/>
      <c r="H85" s="140"/>
      <c r="I85" s="140"/>
      <c r="J85" s="140"/>
      <c r="K85" s="140"/>
      <c r="L85" s="140"/>
      <c r="M85" s="140"/>
      <c r="N85" s="140"/>
      <c r="O85" s="140"/>
      <c r="P85" s="140" t="str">
        <v>W lewo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kaszmirowy - maksymalna zalecana długość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złota - maksymalna zalecana długość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złota szczotkowany - maksymalna zalecana zalecana długość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maksymalna zalecana zalecana długość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czarny matowy - maksymalna zalecana zalecana długość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LIJA - maksymalna zalecana zalecana długość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biały matowy RAL 9003 - maksymalna zalecana zalecana długość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biały połysk RAL 9003 - maksymalna zalecana zalecana długość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złota - maksymalna zalecana zalecana długość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złota szczotkowany - maksymalna zalecana zalecana długość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(lewa i prawa) + Varna elox (góra i dół)</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czarny (lewa i prawa) + Varna czarny (góra i dół)</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czarna matowa -  maksymalna zalecana długość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maksymalna zalecana długość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czarna matowa - maksymalna zalecana długość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maksymalna zalecana długość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nOc3EUmtEVNgN064QDE1+iQM7akjPL+VA3eUxe/JBUgFt/FWIddnuTYmtNwJxun3behm3w3fp79h2M305TSjMQ==" saltValue="9bZLUJyRUgIoB2YpDfHP+g=="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303" priority="24" operator="equal">
      <formula>$A$2</formula>
    </cfRule>
  </conditionalFormatting>
  <conditionalFormatting sqref="B16:I16">
    <cfRule type="expression" dxfId="302" priority="45">
      <formula>$AU$19=0</formula>
    </cfRule>
  </conditionalFormatting>
  <conditionalFormatting sqref="B9:Q9">
    <cfRule type="expression" dxfId="301" priority="30">
      <formula>$B$9=0</formula>
    </cfRule>
  </conditionalFormatting>
  <conditionalFormatting sqref="B11:Q11">
    <cfRule type="expression" dxfId="300" priority="44">
      <formula>$AU$10=0</formula>
    </cfRule>
  </conditionalFormatting>
  <conditionalFormatting sqref="B14:Q14">
    <cfRule type="expression" dxfId="299" priority="29">
      <formula>$B$14=0</formula>
    </cfRule>
  </conditionalFormatting>
  <conditionalFormatting sqref="B17:Q17">
    <cfRule type="expression" dxfId="298" priority="28">
      <formula>$B$17=0</formula>
    </cfRule>
  </conditionalFormatting>
  <conditionalFormatting sqref="B18:Q18">
    <cfRule type="expression" dxfId="297" priority="14" stopIfTrue="1">
      <formula>$B$18=0</formula>
    </cfRule>
    <cfRule type="expression" dxfId="296" priority="17">
      <formula>$F$16=$H$61</formula>
    </cfRule>
  </conditionalFormatting>
  <conditionalFormatting sqref="B19:Q19">
    <cfRule type="expression" dxfId="295" priority="27">
      <formula>$B$19=0</formula>
    </cfRule>
  </conditionalFormatting>
  <conditionalFormatting sqref="B20:Q20">
    <cfRule type="expression" dxfId="294" priority="26">
      <formula>$B$19=0</formula>
    </cfRule>
    <cfRule type="expression" dxfId="293" priority="25">
      <formula>$B$20=0</formula>
    </cfRule>
  </conditionalFormatting>
  <conditionalFormatting sqref="B21:Q21">
    <cfRule type="expression" dxfId="292" priority="6">
      <formula>$B$21=" "</formula>
    </cfRule>
  </conditionalFormatting>
  <conditionalFormatting sqref="B24:Q24">
    <cfRule type="expression" dxfId="291" priority="19" stopIfTrue="1">
      <formula>$T$59&lt;3</formula>
    </cfRule>
  </conditionalFormatting>
  <conditionalFormatting sqref="H23">
    <cfRule type="expression" dxfId="290" priority="31">
      <formula>$H$25&gt;0</formula>
    </cfRule>
  </conditionalFormatting>
  <conditionalFormatting sqref="H10:L11">
    <cfRule type="expression" dxfId="289" priority="23">
      <formula>$AU$10=2</formula>
    </cfRule>
  </conditionalFormatting>
  <conditionalFormatting sqref="H10:Q10">
    <cfRule type="expression" dxfId="288" priority="22">
      <formula>$AU$10=0</formula>
    </cfRule>
  </conditionalFormatting>
  <conditionalFormatting sqref="H22:Q22 B22:G23">
    <cfRule type="expression" dxfId="287" priority="20">
      <formula>$AS$33=1</formula>
    </cfRule>
  </conditionalFormatting>
  <conditionalFormatting sqref="J16:M16">
    <cfRule type="expression" dxfId="286" priority="16" stopIfTrue="1">
      <formula>$K$60=TRUE</formula>
    </cfRule>
  </conditionalFormatting>
  <conditionalFormatting sqref="J16:N16">
    <cfRule type="expression" dxfId="285" priority="18" stopIfTrue="1">
      <formula>$AV$19=0</formula>
    </cfRule>
  </conditionalFormatting>
  <conditionalFormatting sqref="M10:Q11">
    <cfRule type="expression" dxfId="284" priority="21">
      <formula>$AU$10=1</formula>
    </cfRule>
  </conditionalFormatting>
  <conditionalFormatting sqref="N16:Q16">
    <cfRule type="expression" dxfId="283" priority="15" stopIfTrue="1">
      <formula>$K$60=TRUE</formula>
    </cfRule>
  </conditionalFormatting>
  <conditionalFormatting sqref="P29:Q29">
    <cfRule type="expression" dxfId="282" priority="1">
      <formula>$U$41=2</formula>
    </cfRule>
  </conditionalFormatting>
  <conditionalFormatting sqref="AA9:AA10 AA24:AA25">
    <cfRule type="expression" dxfId="281" priority="10" stopIfTrue="1">
      <formula>$AU$17=1</formula>
    </cfRule>
  </conditionalFormatting>
  <conditionalFormatting sqref="AA16:AA17">
    <cfRule type="expression" dxfId="280" priority="5" stopIfTrue="1">
      <formula>$AU$24="1_3"</formula>
    </cfRule>
  </conditionalFormatting>
  <conditionalFormatting sqref="AB6 AA6:AA7 AA27 AA28:AB28">
    <cfRule type="expression" dxfId="279" priority="4" stopIfTrue="1">
      <formula>$AV$17=1</formula>
    </cfRule>
  </conditionalFormatting>
  <conditionalFormatting sqref="AB29:AO29">
    <cfRule type="cellIs" dxfId="278" priority="2" operator="equal">
      <formula>0</formula>
    </cfRule>
  </conditionalFormatting>
  <conditionalFormatting sqref="AC6:AD6 AM6:AN6">
    <cfRule type="expression" dxfId="277" priority="12" stopIfTrue="1">
      <formula>$AU$17=3</formula>
    </cfRule>
  </conditionalFormatting>
  <conditionalFormatting sqref="AC25:AD25 AJ26:AJ27">
    <cfRule type="expression" dxfId="276" priority="39">
      <formula>$AU$25=4</formula>
    </cfRule>
  </conditionalFormatting>
  <conditionalFormatting sqref="AC28:AD28 AM28:AN28">
    <cfRule type="expression" dxfId="275" priority="11" stopIfTrue="1">
      <formula>$AU$17=4</formula>
    </cfRule>
  </conditionalFormatting>
  <conditionalFormatting sqref="AC8:AG8">
    <cfRule type="expression" dxfId="274" priority="43">
      <formula>$AU$25=3</formula>
    </cfRule>
  </conditionalFormatting>
  <conditionalFormatting sqref="AC24:AG24">
    <cfRule type="expression" dxfId="273" priority="40">
      <formula>$AU$25=4</formula>
    </cfRule>
  </conditionalFormatting>
  <conditionalFormatting sqref="AD10:AD12 AB19:AC19">
    <cfRule type="expression" dxfId="272" priority="33">
      <formula>$AU$25=1</formula>
    </cfRule>
  </conditionalFormatting>
  <conditionalFormatting sqref="AD14:AD21">
    <cfRule type="expression" dxfId="271" priority="32">
      <formula>$AU$25=1</formula>
    </cfRule>
  </conditionalFormatting>
  <conditionalFormatting sqref="AE10:AE16">
    <cfRule type="expression" dxfId="270" priority="41">
      <formula>$AU$25=1</formula>
    </cfRule>
  </conditionalFormatting>
  <conditionalFormatting sqref="AF9:AK9">
    <cfRule type="expression" dxfId="269" priority="36">
      <formula>$AU$25=3</formula>
    </cfRule>
  </conditionalFormatting>
  <conditionalFormatting sqref="AF25:AK25">
    <cfRule type="expression" dxfId="268" priority="38">
      <formula>$AU$25=4</formula>
    </cfRule>
  </conditionalFormatting>
  <conditionalFormatting sqref="AG6:AH6">
    <cfRule type="expression" dxfId="267" priority="8" stopIfTrue="1">
      <formula>$AU$24="3_3"</formula>
    </cfRule>
  </conditionalFormatting>
  <conditionalFormatting sqref="AG28:AH28">
    <cfRule type="expression" dxfId="266" priority="7" stopIfTrue="1">
      <formula>$AU$24="4_3"</formula>
    </cfRule>
  </conditionalFormatting>
  <conditionalFormatting sqref="AJ7:AJ8 AC9:AD9">
    <cfRule type="expression" dxfId="265" priority="37">
      <formula>$AU$25=3</formula>
    </cfRule>
  </conditionalFormatting>
  <conditionalFormatting sqref="AL19:AL25">
    <cfRule type="expression" dxfId="264" priority="42">
      <formula>$AU$25=2</formula>
    </cfRule>
  </conditionalFormatting>
  <conditionalFormatting sqref="AM14:AM21">
    <cfRule type="expression" dxfId="263" priority="34">
      <formula>$AU$25=2</formula>
    </cfRule>
  </conditionalFormatting>
  <conditionalFormatting sqref="AN19:AO19 AM23:AM25">
    <cfRule type="expression" dxfId="262" priority="35">
      <formula>$AU$25=2</formula>
    </cfRule>
  </conditionalFormatting>
  <conditionalFormatting sqref="AO6 AP6:AP7 AP27 AO28:AP28">
    <cfRule type="expression" dxfId="261" priority="3" stopIfTrue="1">
      <formula>$AV$17=2</formula>
    </cfRule>
  </conditionalFormatting>
  <conditionalFormatting sqref="AP9:AP10 AP24:AP25">
    <cfRule type="expression" dxfId="260" priority="9" stopIfTrue="1">
      <formula>$AU$17=2</formula>
    </cfRule>
  </conditionalFormatting>
  <conditionalFormatting sqref="AP16:AP17">
    <cfRule type="expression" dxfId="259" priority="13" stopIfTrue="1">
      <formula>$AU$24="2_3"</formula>
    </cfRule>
  </conditionalFormatting>
  <dataValidations count="20">
    <dataValidation type="whole" allowBlank="1" showInputMessage="1" showErrorMessage="1" sqref="H11:L11" xr:uid="{8E63AD02-0B0D-477A-9FD2-B9858453F227}">
      <formula1>1</formula1>
      <formula2>(AR14/100)-1</formula2>
    </dataValidation>
    <dataValidation type="whole" allowBlank="1" showInputMessage="1" showErrorMessage="1" sqref="M11:Q11" xr:uid="{5087F7DF-ED2F-4F91-8FC3-7148C6C91966}">
      <formula1>1</formula1>
      <formula2>(AI30/100)-1</formula2>
    </dataValidation>
    <dataValidation type="whole" allowBlank="1" showInputMessage="1" showErrorMessage="1" errorTitle="Minimum 80 mm" sqref="F20:I20 N20:Q20" xr:uid="{B4CC0CFE-7B28-4802-BB7A-129ADC6127E2}">
      <formula1>80</formula1>
      <formula2>1300</formula2>
    </dataValidation>
    <dataValidation type="whole" operator="greaterThanOrEqual" allowBlank="1" showInputMessage="1" showErrorMessage="1" sqref="H26:Q26" xr:uid="{80B253A3-C1A2-4B0C-8770-5A54EF1959ED}">
      <formula1>1</formula1>
    </dataValidation>
    <dataValidation type="list" allowBlank="1" showInputMessage="1" showErrorMessage="1" sqref="H12:Q12" xr:uid="{252786E0-3854-482A-A600-FE2FCF7C2E39}">
      <formula1>$L$36:$M$36</formula1>
    </dataValidation>
    <dataValidation type="list" allowBlank="1" showInputMessage="1" showErrorMessage="1" sqref="H24:Q24" xr:uid="{3FD5F1A8-7CD9-446E-BA36-6B3C2C32D274}">
      <formula1>$X$54:$X$56</formula1>
    </dataValidation>
    <dataValidation type="list" allowBlank="1" showInputMessage="1" showErrorMessage="1" sqref="H21:Q21" xr:uid="{C2CF979C-374B-4F35-91E1-4409C01C70F1}">
      <formula1>$T$54:$T$56</formula1>
    </dataValidation>
    <dataValidation type="list" allowBlank="1" showInputMessage="1" showErrorMessage="1" sqref="H14:Q14" xr:uid="{66D743C4-43A4-41B3-9DF6-D390C4FF24BB}">
      <formula1>$P$36:$P$38</formula1>
    </dataValidation>
    <dataValidation type="list" allowBlank="1" showInputMessage="1" showErrorMessage="1" sqref="H19:Q19" xr:uid="{91BB977E-742C-423D-9E18-1003B504FAB1}">
      <formula1>IF(H13="Salice",$AJ$36,($AJ$36:$AJ$40))</formula1>
    </dataValidation>
    <dataValidation type="list" allowBlank="1" showInputMessage="1" showErrorMessage="1" sqref="H18:Q18" xr:uid="{36E022B6-77C1-4FD8-B9D7-729B0AAB08CC}">
      <formula1>$AF$36:$AF$41</formula1>
    </dataValidation>
    <dataValidation type="list" allowBlank="1" showInputMessage="1" showErrorMessage="1" sqref="N16:Q16" xr:uid="{5FD845CB-93C7-4EBA-AF05-7B4E40C2580F}">
      <formula1>$K$54:$K$58</formula1>
    </dataValidation>
    <dataValidation type="list" allowBlank="1" showInputMessage="1" showErrorMessage="1" sqref="H13:Q13" xr:uid="{EF38A3E5-13CB-4C66-BD05-9F958B824CD4}">
      <formula1>IF(M38="Salice",$L$38,$L$38:$L$42)</formula1>
    </dataValidation>
    <dataValidation type="list" allowBlank="1" showInputMessage="1" showErrorMessage="1" sqref="H15:Q15" xr:uid="{4878FF7D-CF0F-40BF-8BDE-84FE07D3A058}">
      <formula1>$T$36:$T$44</formula1>
    </dataValidation>
    <dataValidation type="whole" operator="lessThan" showInputMessage="1" showErrorMessage="1" sqref="AI30:AK30" xr:uid="{26B799DC-76F4-4F73-AC47-382683ACD584}">
      <formula1>IF(AR14&lt;AI43+1,AJ43+1,AI43+1)</formula1>
    </dataValidation>
    <dataValidation type="whole" operator="lessThan" showErrorMessage="1" sqref="AR14:AR18" xr:uid="{FA1680BE-511E-4E53-AF70-AFF1A8DC0BEC}">
      <formula1>IF(AI30&lt;AI43+1,AJ43+1,AI43+1)</formula1>
    </dataValidation>
    <dataValidation type="list" allowBlank="1" showInputMessage="1" showErrorMessage="1" sqref="P29:Q29" xr:uid="{4AE64F3B-7E3E-402A-9843-17E90A1C94B0}">
      <formula1>$W$37:$W$38</formula1>
    </dataValidation>
    <dataValidation type="list" allowBlank="1" showInputMessage="1" showErrorMessage="1" sqref="H25:Q25" xr:uid="{3AFE8B7F-9649-446E-9D13-D9B1F8D42539}">
      <formula1>$AD$54:$AD$97</formula1>
    </dataValidation>
    <dataValidation type="list" allowBlank="1" showInputMessage="1" showErrorMessage="1" sqref="H17:Q17" xr:uid="{45201975-9280-44AB-8B88-819AE2B8D53D}">
      <formula1>$P$82:$P$90</formula1>
    </dataValidation>
    <dataValidation type="list" allowBlank="1" showInputMessage="1" showErrorMessage="1" sqref="F16:I16" xr:uid="{40F676F4-F0F9-4398-97BB-29E30392C51C}">
      <formula1>$O$65:$O$84</formula1>
    </dataValidation>
    <dataValidation type="list" allowBlank="1" showInputMessage="1" showErrorMessage="1" sqref="H8:Q8" xr:uid="{3240459C-FBC9-4CCC-9B32-0D3C476BE87E}">
      <formula1>B36:B101</formula1>
    </dataValidation>
  </dataValidations>
  <hyperlinks>
    <hyperlink ref="AP2:AS3" location="Hlavní!A1" display="Hlavní!A1" xr:uid="{D8B801DE-CDE9-4263-9205-C9D725AAA132}"/>
    <hyperlink ref="F5:H5" location="Ram_2!A1" display="Ram_2!A1" xr:uid="{6FB91B59-38EC-4BCC-8ECE-68D5414E7337}"/>
    <hyperlink ref="N5:P5" location="Ram_4!A1" display="Ram_4!A1" xr:uid="{392A3866-EB81-46B2-B756-D80560179878}"/>
    <hyperlink ref="R5:T5" location="Ram_5!A1" display="Ram_5!A1" xr:uid="{D73E3B8E-5B79-448B-84D0-055665EAAC85}"/>
    <hyperlink ref="V5:X5" location="Ram_6!A1" display="Ram_6!A1" xr:uid="{857F34E2-944A-4180-A351-AE5895DA2042}"/>
    <hyperlink ref="B5:D5" location="Ram_1!A1" display="Ram_1!A1" xr:uid="{DC69541A-2863-46B3-A701-F7984066CC89}"/>
    <hyperlink ref="AO31:AR32" location="_souhrn!A1" display="_souhrn!A1" xr:uid="{8E6C7FEA-840B-48F8-A1D7-D8B7E70672CF}"/>
    <hyperlink ref="J5:L5" location="Ram_3!A1" display="Ram_3!A1" xr:uid="{35F3F648-8A95-4361-8E36-648E4C742E10}"/>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2805" r:id="rId3" name="Check Box 5">
              <controlPr defaultSize="0" autoFill="0" autoLine="0" autoPict="0">
                <anchor moveWithCells="1">
                  <from>
                    <xdr:col>5</xdr:col>
                    <xdr:colOff>57150</xdr:colOff>
                    <xdr:row>6</xdr:row>
                    <xdr:rowOff>0</xdr:rowOff>
                  </from>
                  <to>
                    <xdr:col>5</xdr:col>
                    <xdr:colOff>371475</xdr:colOff>
                    <xdr:row>7</xdr:row>
                    <xdr:rowOff>0</xdr:rowOff>
                  </to>
                </anchor>
              </controlPr>
            </control>
          </mc:Choice>
        </mc:AlternateContent>
        <mc:AlternateContent xmlns:mc="http://schemas.openxmlformats.org/markup-compatibility/2006">
          <mc:Choice Requires="x14">
            <control shapeId="783450" r:id="rId4" name="Check Box 1114">
              <controlPr defaultSize="0" autoFill="0" autoLine="0" autoPict="0">
                <anchor moveWithCells="1">
                  <from>
                    <xdr:col>5</xdr:col>
                    <xdr:colOff>57150</xdr:colOff>
                    <xdr:row>6</xdr:row>
                    <xdr:rowOff>171450</xdr:rowOff>
                  </from>
                  <to>
                    <xdr:col>5</xdr:col>
                    <xdr:colOff>276225</xdr:colOff>
                    <xdr:row>7</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1FD33D0-0077-4E1F-81AE-F1E34A1BC771}">
          <x14:formula1>
            <xm:f>'závěsy dle výklopu'!$BW$2:$BW$5</xm:f>
          </x14:formula1>
          <xm:sqref>H27:Q27</xm:sqref>
        </x14:dataValidation>
        <x14:dataValidation type="list" allowBlank="1" showInputMessage="1" showErrorMessage="1" xr:uid="{EA3E6498-EDE4-44AD-82FA-16BC2144887C}">
          <x14:formula1>
            <xm:f>kombinace_1!$BY$13:$BY$15</xm:f>
          </x14:formula1>
          <xm:sqref>H9:Q9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DBDE-8AE9-4B37-A627-DCF2D0023C1A}">
  <sheetPr codeName="List16"/>
  <dimension ref="A1:FC758"/>
  <sheetViews>
    <sheetView topLeftCell="A19"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VLOOKUP(Ram_4!H8,kombinace_4!$A$3:$C$75,3,0)</f>
        <v>#N/A</v>
      </c>
      <c r="S1" t="e">
        <f>CONCATENATE("_",R1,V1)</f>
        <v>#N/A</v>
      </c>
      <c r="U1" s="173" t="s">
        <v>996</v>
      </c>
      <c r="V1" s="2">
        <f>IFERROR(VLOOKUP(Ram_4!H21,$EN$3:$EO$5,2,0),1)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CONCATENATE("_",Ram_4!H12,"_",Ram_4!H13)</f>
        <v>__</v>
      </c>
      <c r="BV2" t="s">
        <v>1013</v>
      </c>
      <c r="BW2" t="s">
        <v>1009</v>
      </c>
      <c r="BY2" t="s">
        <v>110</v>
      </c>
      <c r="CA2" t="s">
        <v>1032</v>
      </c>
      <c r="CD2" t="s">
        <v>1106</v>
      </c>
      <c r="CF2" t="s">
        <v>1328</v>
      </c>
      <c r="DN2" t="str">
        <f>'Translate&amp;Prices&amp;Logo'!B555</f>
        <v>Nakładany</v>
      </c>
      <c r="DP2" t="str">
        <f>'Translate&amp;Prices&amp;Logo'!$B$553</f>
        <v>Zawiasy</v>
      </c>
      <c r="DQ2">
        <v>2</v>
      </c>
      <c r="ED2" t="s">
        <v>1649</v>
      </c>
      <c r="EE2" t="s">
        <v>3183</v>
      </c>
      <c r="ER2" t="s">
        <v>2153</v>
      </c>
      <c r="ES2" t="s">
        <v>2158</v>
      </c>
      <c r="EV2">
        <v>2</v>
      </c>
      <c r="EW2" t="s">
        <v>2175</v>
      </c>
      <c r="EY2" s="206" t="str">
        <f>'Translate&amp;Prices&amp;Logo'!B166</f>
        <v>siatka alu złota - oko 10x6x1 mm</v>
      </c>
      <c r="FA2" s="34" t="str">
        <f>'Translate&amp;Prices&amp;Logo'!B646</f>
        <v>520405 SALICE AIR SOFT zawiasy niklowe o kącie otwarcia 92° kpl. 2 szt</v>
      </c>
      <c r="FC2" t="b">
        <v>0</v>
      </c>
    </row>
    <row r="3" spans="1:159">
      <c r="A3" t="str">
        <f>'Translate&amp;Prices&amp;Logo'!$B$6</f>
        <v>BRW (elox.) - maksymalna zalecana długość profilu 2500 mm</v>
      </c>
      <c r="B3">
        <v>1</v>
      </c>
      <c r="C3" t="s">
        <v>651</v>
      </c>
      <c r="D3">
        <v>1</v>
      </c>
      <c r="F3" t="s">
        <v>950</v>
      </c>
      <c r="G3" t="s">
        <v>382</v>
      </c>
      <c r="H3" t="s">
        <v>951</v>
      </c>
      <c r="I3">
        <v>1</v>
      </c>
      <c r="J3">
        <v>2</v>
      </c>
      <c r="K3" t="s">
        <v>651</v>
      </c>
      <c r="M3" t="s">
        <v>952</v>
      </c>
      <c r="N3" t="s">
        <v>554</v>
      </c>
      <c r="X3" t="str">
        <f>'Translate&amp;Prices&amp;Logo'!$B$565</f>
        <v>transparentna</v>
      </c>
      <c r="Y3">
        <v>1</v>
      </c>
      <c r="AA3" t="s">
        <v>2079</v>
      </c>
      <c r="AB3" t="s">
        <v>1009</v>
      </c>
      <c r="AF3" t="s">
        <v>105</v>
      </c>
      <c r="AG3" t="s">
        <v>2373</v>
      </c>
      <c r="AY3" t="s">
        <v>984</v>
      </c>
      <c r="BK3" t="s">
        <v>105</v>
      </c>
      <c r="BU3" t="e">
        <f>VLOOKUP(BU2,BV2:BW9,2,0)</f>
        <v>#N/A</v>
      </c>
      <c r="BV3" t="s">
        <v>1015</v>
      </c>
      <c r="BW3" t="s">
        <v>1012</v>
      </c>
      <c r="BY3" t="str">
        <f>'Translate&amp;Prices&amp;Logo'!$B$232</f>
        <v>W lewo</v>
      </c>
      <c r="BZ3">
        <v>1</v>
      </c>
      <c r="CA3">
        <v>32</v>
      </c>
      <c r="CD3" t="s">
        <v>2370</v>
      </c>
      <c r="CE3">
        <v>1</v>
      </c>
      <c r="CF3">
        <v>1</v>
      </c>
      <c r="DN3" t="e">
        <f>IF(OR(Ram_4!$H$13&amp;Ram_4!$AU$7=Ram_4!$M$44,
Ram_4!$H$13&amp;Ram_4!$AU$7=Ram_4!$M$45,
Ram_4!$H$13&amp;Ram_4!$AU$7=Ram_4!$M$46,
Ram_4!$H$13&amp;Ram_4!$AU$7=Ram_4!$M$47),
'Translate&amp;Prices&amp;Logo'!B659,'Translate&amp;Prices&amp;Logo'!B556)</f>
        <v>#N/A</v>
      </c>
      <c r="DP3" t="str">
        <f>'Translate&amp;Prices&amp;Logo'!$B$554</f>
        <v>Podnośniki</v>
      </c>
      <c r="DQ3">
        <v>3</v>
      </c>
      <c r="ED3" t="s">
        <v>1650</v>
      </c>
      <c r="EE3" t="s">
        <v>3186</v>
      </c>
      <c r="EJ3">
        <v>1</v>
      </c>
      <c r="EK3" t="s">
        <v>113</v>
      </c>
      <c r="EN3" t="str">
        <f>'Translate&amp;Prices&amp;Logo'!B640</f>
        <v>Bez modyfikacji</v>
      </c>
      <c r="EO3">
        <v>1</v>
      </c>
      <c r="ER3" t="s">
        <v>2151</v>
      </c>
      <c r="ES3" t="s">
        <v>2159</v>
      </c>
      <c r="EV3">
        <v>3</v>
      </c>
      <c r="EW3" t="s">
        <v>2176</v>
      </c>
      <c r="EY3" s="206" t="str">
        <f>'Translate&amp;Prices&amp;Logo'!B167</f>
        <v>siatka stal czarny mat RAL 9005– oko 8x4x1 mm</v>
      </c>
      <c r="FA3" s="34" t="str">
        <f>'Translate&amp;Prices&amp;Logo'!B647</f>
        <v>520406 SALICE AIR PUSH TO OPEN zawiasy niklowe z zestawem adapterów 2 szt</v>
      </c>
    </row>
    <row r="4" spans="1:159">
      <c r="A4" t="str">
        <f>'Translate&amp;Prices&amp;Logo'!$B$8</f>
        <v>BRW bialy matowy RAL 9003 - maksymalna zalecana długość profilu 2500 mm</v>
      </c>
      <c r="B4">
        <v>1</v>
      </c>
      <c r="C4" t="s">
        <v>651</v>
      </c>
      <c r="D4">
        <v>0</v>
      </c>
      <c r="G4" t="s">
        <v>951</v>
      </c>
      <c r="H4" t="s">
        <v>382</v>
      </c>
      <c r="I4">
        <v>0</v>
      </c>
      <c r="J4">
        <v>2</v>
      </c>
      <c r="K4" t="s">
        <v>651</v>
      </c>
      <c r="M4" t="s">
        <v>955</v>
      </c>
      <c r="N4" t="s">
        <v>856</v>
      </c>
      <c r="X4" t="str">
        <f>'Translate&amp;Prices&amp;Logo'!$B$566</f>
        <v>Biała</v>
      </c>
      <c r="Y4">
        <v>2</v>
      </c>
      <c r="AA4" t="s">
        <v>954</v>
      </c>
      <c r="AB4" t="s">
        <v>2370</v>
      </c>
      <c r="AC4">
        <v>1</v>
      </c>
      <c r="AD4">
        <v>1</v>
      </c>
      <c r="AF4" t="s">
        <v>106</v>
      </c>
      <c r="AG4" t="s">
        <v>2373</v>
      </c>
      <c r="AY4" t="s">
        <v>984</v>
      </c>
      <c r="AZ4" t="s">
        <v>1017</v>
      </c>
      <c r="BK4" t="s">
        <v>106</v>
      </c>
      <c r="BV4" t="s">
        <v>1016</v>
      </c>
      <c r="BW4" t="s">
        <v>1011</v>
      </c>
      <c r="BY4" t="str">
        <f>'Translate&amp;Prices&amp;Logo'!$B$231</f>
        <v>W prawo</v>
      </c>
      <c r="BZ4">
        <v>2</v>
      </c>
      <c r="CA4">
        <v>64</v>
      </c>
      <c r="CD4" t="s">
        <v>2150</v>
      </c>
      <c r="CE4">
        <v>1</v>
      </c>
      <c r="CF4">
        <v>0</v>
      </c>
      <c r="DN4" t="e">
        <f>IF(OR(Ram_4!$H$13&amp;Ram_4!$AU$7=Ram_4!$M$44,
Ram_4!$H$13&amp;Ram_4!$AU$7=Ram_4!$M$45,
Ram_4!$H$13&amp;Ram_4!$AU$7=Ram_4!$M$46,
Ram_4!$H$13&amp;Ram_4!$AU$7=Ram_4!$M$47),
'Translate&amp;Prices&amp;Logo'!B659,'Translate&amp;Prices&amp;Logo'!B557)</f>
        <v>#N/A</v>
      </c>
      <c r="ED4" t="s">
        <v>1651</v>
      </c>
      <c r="EE4" t="s">
        <v>3188</v>
      </c>
      <c r="EJ4">
        <v>2</v>
      </c>
      <c r="EK4" t="s">
        <v>114</v>
      </c>
      <c r="EN4" t="str">
        <f>'Translate&amp;Prices&amp;Logo'!B641</f>
        <v>Hartowane (termin dostawy 4 tygodnie)</v>
      </c>
      <c r="EO4">
        <v>2</v>
      </c>
      <c r="ER4" t="s">
        <v>2445</v>
      </c>
      <c r="ES4" t="s">
        <v>2446</v>
      </c>
      <c r="EV4">
        <v>4</v>
      </c>
      <c r="EW4" t="s">
        <v>2177</v>
      </c>
      <c r="EY4" s="206" t="str">
        <f>'Translate&amp;Prices&amp;Logo'!B168</f>
        <v>siatka stalowa biała - oko 8x4x1 mm</v>
      </c>
      <c r="FA4" s="34" t="str">
        <f>'Translate&amp;Prices&amp;Logo'!B648</f>
        <v>520407 SALICE AIR PUSH TO OPEN zawiasy niklowe z zestawem adapterów 2 szt</v>
      </c>
    </row>
    <row r="5" spans="1:159">
      <c r="A5" t="str">
        <f>'Translate&amp;Prices&amp;Logo'!$B$9</f>
        <v>BRW bialy połysk RAL 9003 - maksymalna zalecana długość profilu 2500 mm</v>
      </c>
      <c r="B5">
        <v>1</v>
      </c>
      <c r="C5" t="s">
        <v>651</v>
      </c>
      <c r="D5">
        <v>0</v>
      </c>
      <c r="F5" t="s">
        <v>957</v>
      </c>
      <c r="G5" t="s">
        <v>381</v>
      </c>
      <c r="H5" t="s">
        <v>951</v>
      </c>
      <c r="I5">
        <v>1</v>
      </c>
      <c r="J5">
        <v>2</v>
      </c>
      <c r="K5" t="s">
        <v>651</v>
      </c>
      <c r="M5" t="s">
        <v>958</v>
      </c>
      <c r="N5" t="s">
        <v>556</v>
      </c>
      <c r="X5" t="str">
        <f>'Translate&amp;Prices&amp;Logo'!$B$567</f>
        <v>czarna</v>
      </c>
      <c r="Y5">
        <v>3</v>
      </c>
      <c r="AA5" t="s">
        <v>954</v>
      </c>
      <c r="AB5" t="s">
        <v>2374</v>
      </c>
      <c r="AC5">
        <v>0</v>
      </c>
      <c r="AD5">
        <v>0</v>
      </c>
      <c r="AF5" t="s">
        <v>105</v>
      </c>
      <c r="AG5" t="s">
        <v>2375</v>
      </c>
      <c r="AY5" t="s">
        <v>984</v>
      </c>
      <c r="AZ5" t="s">
        <v>1018</v>
      </c>
      <c r="BK5" t="s">
        <v>961</v>
      </c>
      <c r="BV5" t="s">
        <v>2497</v>
      </c>
      <c r="BW5" t="s">
        <v>2498</v>
      </c>
      <c r="BY5" t="str">
        <f>'Translate&amp;Prices&amp;Logo'!$B$229</f>
        <v>W górę</v>
      </c>
      <c r="BZ5">
        <v>3</v>
      </c>
      <c r="CA5">
        <v>76</v>
      </c>
      <c r="CD5" t="s">
        <v>964</v>
      </c>
      <c r="CE5">
        <v>1</v>
      </c>
      <c r="CF5">
        <v>0</v>
      </c>
      <c r="ED5" t="s">
        <v>1652</v>
      </c>
      <c r="EE5" t="s">
        <v>3189</v>
      </c>
      <c r="EJ5">
        <v>3</v>
      </c>
      <c r="EK5" t="s">
        <v>74</v>
      </c>
      <c r="EN5" t="str">
        <f>IF(Ram_4!H25="",'Translate&amp;Prices&amp;Logo'!B642,"")</f>
        <v>Folia</v>
      </c>
      <c r="EO5">
        <v>3</v>
      </c>
      <c r="ER5" t="s">
        <v>2447</v>
      </c>
      <c r="ES5" t="s">
        <v>2448</v>
      </c>
      <c r="EV5">
        <v>5</v>
      </c>
      <c r="EW5" t="s">
        <v>2175</v>
      </c>
      <c r="EY5" s="206" t="str">
        <f>'Translate&amp;Prices&amp;Logo'!B169</f>
        <v>siatka elox - oko 10x6x1 mm</v>
      </c>
      <c r="FA5" s="34" t="str">
        <f>'Translate&amp;Prices&amp;Logo'!B649</f>
        <v>520408 SALICE AIR SOFT zawiasy niklowe z zestawem adapterów 2 szt</v>
      </c>
    </row>
    <row r="6" spans="1:159">
      <c r="A6" t="str">
        <f>'Translate&amp;Prices&amp;Logo'!$B$11</f>
        <v>BRW szczotkowany - maksymalna zalecana długość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W dół</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zawiasy o kącie otwarcia 92° kpl. 2 szt</v>
      </c>
    </row>
    <row r="7" spans="1:159">
      <c r="A7" t="str">
        <f>'Translate&amp;Prices&amp;Logo'!$B$12</f>
        <v>BRW Czarny matowy - maksymalna zalecana długość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zawiasy komplet 2 szt</v>
      </c>
    </row>
    <row r="8" spans="1:159">
      <c r="A8" t="str">
        <f>'Translate&amp;Prices&amp;Logo'!$B$14</f>
        <v>BRW czarna szczotka - maksymalna zalecana długość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zawiasy z zestawem adapterów 2 szt</v>
      </c>
    </row>
    <row r="9" spans="1:159">
      <c r="A9" t="str">
        <f>'Translate&amp;Prices&amp;Logo'!$B$15</f>
        <v>BRW INOX ACIER gratta - maksymalna zalecana długość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zawiasy z zestawem adapterów 2 szt</v>
      </c>
    </row>
    <row r="10" spans="1:159">
      <c r="A10" t="str">
        <f>'Translate&amp;Prices&amp;Logo'!$B$7</f>
        <v>BRW antracyt RAL 7021 - maksymalna zalecana długość profilu 2500 mm</v>
      </c>
      <c r="B10">
        <v>1</v>
      </c>
      <c r="C10" t="s">
        <v>651</v>
      </c>
      <c r="D10">
        <v>0</v>
      </c>
      <c r="M10" t="str">
        <f>'Translate&amp;Prices&amp;Logo'!B560</f>
        <v>Poziomo (termin dostawy 4 tygodnie)</v>
      </c>
      <c r="N10">
        <f>IF(Ram_4!$H$9=kombinace_4!M10,1,0)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maksymalna zalecana długość profilu 2500 mm</v>
      </c>
      <c r="B11">
        <v>1</v>
      </c>
      <c r="C11" t="s">
        <v>651</v>
      </c>
      <c r="D11">
        <v>0</v>
      </c>
      <c r="M11" t="str">
        <f>'Translate&amp;Prices&amp;Logo'!B561</f>
        <v>Pionowo (termin dostawy 4 tygodnie)</v>
      </c>
      <c r="N11">
        <f>IF(Ram_4!$H$9=kombinace_4!M11,2,0)</f>
        <v>0</v>
      </c>
      <c r="AC11">
        <v>0</v>
      </c>
      <c r="AD11">
        <v>0</v>
      </c>
      <c r="AF11" t="s">
        <v>105</v>
      </c>
      <c r="AG11" t="s">
        <v>969</v>
      </c>
      <c r="AY11" t="s">
        <v>954</v>
      </c>
      <c r="AZ11" t="s">
        <v>1023</v>
      </c>
      <c r="BQ11" s="208" t="s">
        <v>2263</v>
      </c>
      <c r="BY11">
        <v>5</v>
      </c>
      <c r="CA11">
        <v>240</v>
      </c>
      <c r="CD11" t="str">
        <f>CONCATENATE('Translate&amp;Prices&amp;Logo'!B666,"_K12")</f>
        <v>dolny_K12</v>
      </c>
      <c r="CE11">
        <v>1</v>
      </c>
      <c r="CF11">
        <v>0</v>
      </c>
      <c r="DN11" t="s">
        <v>69</v>
      </c>
      <c r="DO11" s="2" t="s">
        <v>69</v>
      </c>
      <c r="ED11" t="s">
        <v>1658</v>
      </c>
      <c r="EE11" t="s">
        <v>1752</v>
      </c>
      <c r="ER11" t="s">
        <v>2155</v>
      </c>
      <c r="ES11" t="s">
        <v>2161</v>
      </c>
    </row>
    <row r="12" spans="1:159">
      <c r="A12" t="str">
        <f>'Translate&amp;Prices&amp;Logo'!$B$72</f>
        <v>BRW champagne light - maksymalna zalecana długość profilu 2500 mm</v>
      </c>
      <c r="B12">
        <v>1</v>
      </c>
      <c r="C12" t="s">
        <v>651</v>
      </c>
      <c r="D12">
        <v>0</v>
      </c>
      <c r="M12" t="str">
        <f>'Translate&amp;Prices&amp;Logo'!B562</f>
        <v>Poziomo i pionowo (termin dostawy 4 tygodnie)</v>
      </c>
      <c r="N12">
        <f>IF(Ram_4!$H$9=kombinace_4!M12,3,0)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brąz - maksymalna zalecana długość profilu 2500 mm</v>
      </c>
      <c r="B13">
        <v>1</v>
      </c>
      <c r="C13" t="s">
        <v>651</v>
      </c>
      <c r="D13">
        <v>0</v>
      </c>
      <c r="AC13">
        <v>0</v>
      </c>
      <c r="AD13">
        <v>0</v>
      </c>
      <c r="AF13" t="s">
        <v>105</v>
      </c>
      <c r="AG13" t="s">
        <v>972</v>
      </c>
      <c r="AY13" t="s">
        <v>954</v>
      </c>
      <c r="AZ13" t="s">
        <v>1025</v>
      </c>
      <c r="BQ13" s="209"/>
      <c r="BR13" t="s">
        <v>966</v>
      </c>
      <c r="BY13" t="str">
        <f>'Translate&amp;Prices&amp;Logo'!$B$560</f>
        <v>Poziomo (termin dostawy 4 tygodnie)</v>
      </c>
      <c r="BZ13">
        <v>1</v>
      </c>
      <c r="CA13">
        <v>288</v>
      </c>
      <c r="CD13" t="str">
        <f>CONCATENATE('Translate&amp;Prices&amp;Logo'!B666,"_kraby")</f>
        <v>dolny_kraby</v>
      </c>
      <c r="CE13">
        <v>1</v>
      </c>
      <c r="CF13">
        <v>0</v>
      </c>
      <c r="DN13" t="s">
        <v>220</v>
      </c>
      <c r="DO13" s="2" t="s">
        <v>68</v>
      </c>
      <c r="ED13" t="s">
        <v>2507</v>
      </c>
      <c r="EE13" t="s">
        <v>2506</v>
      </c>
      <c r="ER13" t="s">
        <v>2157</v>
      </c>
      <c r="ES13" t="s">
        <v>2157</v>
      </c>
    </row>
    <row r="14" spans="1:159">
      <c r="A14" t="str">
        <f>'Translate&amp;Prices&amp;Logo'!$B$16</f>
        <v>BRW INOX LIJA - maksymalna zalecana długość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Pionowo (termin dostawy 4 tygodnie)</v>
      </c>
      <c r="BZ14">
        <v>2</v>
      </c>
      <c r="CA14">
        <v>320</v>
      </c>
      <c r="CD14" t="s">
        <v>980</v>
      </c>
      <c r="CE14">
        <v>1</v>
      </c>
      <c r="CF14">
        <v>0</v>
      </c>
      <c r="DN14" t="s">
        <v>221</v>
      </c>
      <c r="DO14" s="2" t="s">
        <v>69</v>
      </c>
      <c r="ED14" t="s">
        <v>1660</v>
      </c>
      <c r="EE14" t="s">
        <v>1754</v>
      </c>
      <c r="ER14" t="s">
        <v>2158</v>
      </c>
      <c r="ES14" t="s">
        <v>2158</v>
      </c>
    </row>
    <row r="15" spans="1:159">
      <c r="A15" t="str">
        <f>'Translate&amp;Prices&amp;Logo'!$B$64</f>
        <v>BRW kaszmirowy - maksymalna zalecana długość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Poziomo i pionowo (termin dostawy 4 tygodnie)</v>
      </c>
      <c r="BZ15">
        <v>3</v>
      </c>
      <c r="CA15">
        <v>384</v>
      </c>
      <c r="CD15" t="s">
        <v>981</v>
      </c>
      <c r="CE15">
        <v>1</v>
      </c>
      <c r="CF15">
        <v>0</v>
      </c>
      <c r="DN15" t="s">
        <v>1145</v>
      </c>
      <c r="DO15" s="2" t="s">
        <v>70</v>
      </c>
      <c r="ED15" t="s">
        <v>1661</v>
      </c>
      <c r="EE15" t="s">
        <v>1755</v>
      </c>
      <c r="ER15" t="s">
        <v>2159</v>
      </c>
      <c r="ES15" t="s">
        <v>2159</v>
      </c>
    </row>
    <row r="16" spans="1:159">
      <c r="A16" t="str">
        <f>'Translate&amp;Prices&amp;Logo'!$B$13</f>
        <v>BRW złota- maksymalna zalecana długość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StrongLift_gorny</v>
      </c>
      <c r="CE16">
        <v>1</v>
      </c>
      <c r="CF16">
        <v>1</v>
      </c>
      <c r="DN16" t="s">
        <v>284</v>
      </c>
      <c r="DO16" s="2" t="s">
        <v>68</v>
      </c>
      <c r="ED16" t="s">
        <v>1662</v>
      </c>
      <c r="EE16" t="s">
        <v>1756</v>
      </c>
      <c r="ER16" t="s">
        <v>2446</v>
      </c>
      <c r="ES16" t="s">
        <v>2446</v>
      </c>
      <c r="FC16" s="244"/>
    </row>
    <row r="17" spans="1:159">
      <c r="A17" t="str">
        <f>'Translate&amp;Prices&amp;Logo'!$B$55</f>
        <v>BRW złota szczotkowany - maksymalna zalecana zalecana długość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StrongLift_dolny</v>
      </c>
      <c r="CE17">
        <v>1</v>
      </c>
      <c r="CF17">
        <v>1</v>
      </c>
      <c r="DN17" t="s">
        <v>1244</v>
      </c>
      <c r="DO17" s="2" t="s">
        <v>69</v>
      </c>
      <c r="ED17" t="s">
        <v>1663</v>
      </c>
      <c r="EE17" t="s">
        <v>1757</v>
      </c>
      <c r="ER17" t="s">
        <v>2448</v>
      </c>
      <c r="ES17" t="s">
        <v>2448</v>
      </c>
      <c r="FC17" s="244"/>
    </row>
    <row r="18" spans="1:159">
      <c r="A18" t="str">
        <f>'Translate&amp;Prices&amp;Logo'!$B$17</f>
        <v>Corleone (elox.)- maksymalna zalecana długość profilu 1500 mm</v>
      </c>
      <c r="B18">
        <v>2</v>
      </c>
      <c r="C18" t="s">
        <v>651</v>
      </c>
      <c r="D18">
        <v>0</v>
      </c>
      <c r="E18">
        <v>3</v>
      </c>
      <c r="F18" t="str">
        <f>'Translate&amp;Prices&amp;Logo'!$B$82</f>
        <v>Rocca elox (lewa i prawa) + Varna elox (góra i dół)</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czarny matowy - maksymalna zalecana długość profilu 1500 mm</v>
      </c>
      <c r="B19">
        <v>2</v>
      </c>
      <c r="C19" t="s">
        <v>651</v>
      </c>
      <c r="D19">
        <v>0</v>
      </c>
      <c r="F19" t="str">
        <f>'Translate&amp;Prices&amp;Logo'!$B$83</f>
        <v>Rocca czarny (lewa i prawa) + Varna czarny (góra i dół)</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czarne  - maksymalna zalecana długość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antracyt mat RAL 7021 mat lakier - maksymalna zalecana długość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maksymalna zalecana długość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Czarny matowy - maksymalna zalecana długość profilu 2500 mm</v>
      </c>
      <c r="B23">
        <v>2</v>
      </c>
      <c r="C23" t="s">
        <v>998</v>
      </c>
      <c r="D23">
        <v>0</v>
      </c>
      <c r="AA23" t="s">
        <v>966</v>
      </c>
      <c r="AB23" t="e">
        <f>IF(Ram_4!AU7=2,"FREEspace","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bialy matowy RAL 9003 - maksymalna zalecana długość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złota - maksymalna zalecana zalecana długość profilu 2150 mm</v>
      </c>
      <c r="B25">
        <v>2</v>
      </c>
      <c r="C25" t="s">
        <v>998</v>
      </c>
      <c r="D25">
        <v>0</v>
      </c>
      <c r="AF25" t="s">
        <v>105</v>
      </c>
      <c r="AG25" t="s">
        <v>980</v>
      </c>
      <c r="ED25" t="s">
        <v>1671</v>
      </c>
      <c r="EE25" t="s">
        <v>3200</v>
      </c>
      <c r="ER25" t="s">
        <v>2167</v>
      </c>
      <c r="ES25" t="s">
        <v>2167</v>
      </c>
    </row>
    <row r="26" spans="1:159">
      <c r="A26" t="str">
        <f>'Translate&amp;Prices&amp;Logo'!$B$22</f>
        <v>Modena (elox.) - maksymalna zalecana długość profilu 2500 mm</v>
      </c>
      <c r="B26">
        <v>2</v>
      </c>
      <c r="C26" t="s">
        <v>651</v>
      </c>
      <c r="D26">
        <v>0</v>
      </c>
      <c r="AF26" t="s">
        <v>106</v>
      </c>
      <c r="AG26" t="s">
        <v>980</v>
      </c>
      <c r="ED26" t="s">
        <v>1672</v>
      </c>
      <c r="EE26" t="s">
        <v>3201</v>
      </c>
      <c r="ER26" t="s">
        <v>2168</v>
      </c>
      <c r="ES26" t="s">
        <v>2168</v>
      </c>
    </row>
    <row r="27" spans="1:159">
      <c r="A27" t="str">
        <f>'Translate&amp;Prices&amp;Logo'!$B$23</f>
        <v>Modena Czarny matowy - maksymalna zalecana długość profilu 2500 mm</v>
      </c>
      <c r="B27">
        <v>2</v>
      </c>
      <c r="C27" t="s">
        <v>651</v>
      </c>
      <c r="D27">
        <v>0</v>
      </c>
      <c r="AF27" t="s">
        <v>105</v>
      </c>
      <c r="AG27" t="s">
        <v>981</v>
      </c>
      <c r="ED27" t="s">
        <v>1673</v>
      </c>
      <c r="EE27" t="s">
        <v>3203</v>
      </c>
      <c r="ER27" t="s">
        <v>2169</v>
      </c>
      <c r="ES27" t="s">
        <v>2169</v>
      </c>
    </row>
    <row r="28" spans="1:159">
      <c r="A28" t="str">
        <f>'Translate&amp;Prices&amp;Logo'!$B$25</f>
        <v>Modena czarna szczotka - maksymalna zalecana długość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LIJA - maksymalna zalecana długość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brąz - maksymalna zalecana długość profilu 2500 mm</v>
      </c>
      <c r="B30">
        <v>2</v>
      </c>
      <c r="C30" t="s">
        <v>651</v>
      </c>
      <c r="D30">
        <v>0</v>
      </c>
      <c r="AA30" t="s">
        <v>976</v>
      </c>
      <c r="AB30" t="str">
        <f>CONCATENATE('Translate&amp;Prices&amp;Logo'!B666,"_K12")</f>
        <v>dolny_K12</v>
      </c>
      <c r="AC30">
        <v>1</v>
      </c>
      <c r="AD30">
        <v>0</v>
      </c>
      <c r="AF30" t="s">
        <v>106</v>
      </c>
      <c r="AG30" t="s">
        <v>982</v>
      </c>
      <c r="ED30" t="s">
        <v>1676</v>
      </c>
      <c r="EE30" t="s">
        <v>3206</v>
      </c>
      <c r="ER30" t="s">
        <v>2459</v>
      </c>
      <c r="ES30" t="s">
        <v>2459</v>
      </c>
    </row>
    <row r="31" spans="1:159">
      <c r="A31" t="str">
        <f>'Translate&amp;Prices&amp;Logo'!$B$29</f>
        <v>Pisa (elox.) - maksymalna zalecana długość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biały matowy RAL 9003 - maksymalna zalecana zalecana długość profilu 2500 mm</v>
      </c>
      <c r="B32">
        <v>2</v>
      </c>
      <c r="C32" t="s">
        <v>998</v>
      </c>
      <c r="D32">
        <v>0</v>
      </c>
      <c r="AA32" t="s">
        <v>976</v>
      </c>
      <c r="AB32" t="str">
        <f>CONCATENATE('Translate&amp;Prices&amp;Logo'!B666,"_kraby")</f>
        <v>dolny_kraby</v>
      </c>
      <c r="AC32">
        <v>1</v>
      </c>
      <c r="AD32">
        <v>0</v>
      </c>
      <c r="AF32" t="s">
        <v>106</v>
      </c>
      <c r="AG32" t="s">
        <v>983</v>
      </c>
      <c r="BY32" t="str">
        <f>'Translate&amp;Prices&amp;Logo'!$B$232</f>
        <v>W lewo</v>
      </c>
      <c r="BZ32" t="str">
        <f>'Translate&amp;Prices&amp;Logo'!$B$244&amp;" "&amp;'Translate&amp;Prices&amp;Logo'!$B$593</f>
        <v>Odległość od lewej krawędzi (górnej)</v>
      </c>
      <c r="CA32" t="str">
        <f>'Translate&amp;Prices&amp;Logo'!$B$244&amp;" "&amp;'Translate&amp;Prices&amp;Logo'!$B$591</f>
        <v>Odległość od lewej krawędzi (dolnej)</v>
      </c>
      <c r="CC32" t="s">
        <v>4537</v>
      </c>
      <c r="CD32" t="s">
        <v>4532</v>
      </c>
      <c r="ED32" t="s">
        <v>1678</v>
      </c>
      <c r="EE32" t="s">
        <v>3208</v>
      </c>
      <c r="ER32" t="s">
        <v>2461</v>
      </c>
      <c r="ES32" t="s">
        <v>2461</v>
      </c>
    </row>
    <row r="33" spans="1:149">
      <c r="A33" t="str">
        <f>'Translate&amp;Prices&amp;Logo'!$B$53</f>
        <v>Pisa biały połysk RAL 9003 - maksymalna zalecana zalecana długość profilu 2500 mm</v>
      </c>
      <c r="B33">
        <v>2</v>
      </c>
      <c r="C33" t="s">
        <v>998</v>
      </c>
      <c r="D33">
        <v>0</v>
      </c>
      <c r="AA33" t="s">
        <v>976</v>
      </c>
      <c r="AB33" t="s">
        <v>980</v>
      </c>
      <c r="AC33">
        <v>1</v>
      </c>
      <c r="AD33">
        <v>0</v>
      </c>
      <c r="AF33" t="s">
        <v>105</v>
      </c>
      <c r="AG33" t="s">
        <v>985</v>
      </c>
      <c r="BY33" t="str">
        <f>'Translate&amp;Prices&amp;Logo'!$B$231</f>
        <v>W prawo</v>
      </c>
      <c r="BZ33" t="str">
        <f>'Translate&amp;Prices&amp;Logo'!$B$645&amp;" "&amp;'Translate&amp;Prices&amp;Logo'!$B$593</f>
        <v>Odległość od prawej krawędzi (górnej)</v>
      </c>
      <c r="CA33" t="str">
        <f>'Translate&amp;Prices&amp;Logo'!$B$645&amp;" "&amp;'Translate&amp;Prices&amp;Logo'!$B$591</f>
        <v>Odległość od prawej krawędzi (dolnej)</v>
      </c>
      <c r="CC33" t="s">
        <v>4540</v>
      </c>
      <c r="CD33" t="s">
        <v>4538</v>
      </c>
      <c r="ED33" t="s">
        <v>1679</v>
      </c>
      <c r="EE33" t="s">
        <v>3209</v>
      </c>
      <c r="ER33" t="s">
        <v>2462</v>
      </c>
      <c r="ES33" t="s">
        <v>2462</v>
      </c>
    </row>
    <row r="34" spans="1:149">
      <c r="A34" t="str">
        <f>'Translate&amp;Prices&amp;Logo'!$B$30</f>
        <v>Pisa Czarny matowy - maksymalna zalecana długość profilu 2500 mm</v>
      </c>
      <c r="B34">
        <v>2</v>
      </c>
      <c r="C34" t="s">
        <v>998</v>
      </c>
      <c r="D34">
        <v>0</v>
      </c>
      <c r="AA34" t="s">
        <v>976</v>
      </c>
      <c r="AB34" t="s">
        <v>981</v>
      </c>
      <c r="AC34">
        <v>1</v>
      </c>
      <c r="AD34">
        <v>0</v>
      </c>
      <c r="AF34" t="s">
        <v>106</v>
      </c>
      <c r="AG34" t="s">
        <v>985</v>
      </c>
      <c r="BY34" t="str">
        <f>'Translate&amp;Prices&amp;Logo'!$B$229</f>
        <v>W górę</v>
      </c>
      <c r="BZ34" t="str">
        <f>'Translate&amp;Prices&amp;Logo'!$B$674&amp;" "&amp;'Translate&amp;Prices&amp;Logo'!$B$592</f>
        <v>Odległość od górnej krawędzi (lewej)</v>
      </c>
      <c r="CA34" t="str">
        <f>'Translate&amp;Prices&amp;Logo'!$B$674&amp;" "&amp;'Translate&amp;Prices&amp;Logo'!$B$594</f>
        <v>Odległość od górnej krawędzi (prawej)</v>
      </c>
      <c r="CC34" t="s">
        <v>4534</v>
      </c>
      <c r="CD34" t="s">
        <v>4536</v>
      </c>
      <c r="ED34" t="s">
        <v>1680</v>
      </c>
      <c r="EE34" t="s">
        <v>3210</v>
      </c>
      <c r="ER34" t="s">
        <v>2170</v>
      </c>
      <c r="ES34" t="s">
        <v>2170</v>
      </c>
    </row>
    <row r="35" spans="1:149">
      <c r="A35" t="str">
        <f>'Translate&amp;Prices&amp;Logo'!$B$58</f>
        <v>Pisa złota - maksymalna zalecana długość profilu 2150 mm</v>
      </c>
      <c r="B35">
        <v>2</v>
      </c>
      <c r="C35" t="s">
        <v>998</v>
      </c>
      <c r="D35">
        <v>0</v>
      </c>
      <c r="BY35" t="str">
        <f>'Translate&amp;Prices&amp;Logo'!$B$230</f>
        <v>W dół</v>
      </c>
      <c r="BZ35" t="str">
        <f>'Translate&amp;Prices&amp;Logo'!$B$675&amp;" "&amp;'Translate&amp;Prices&amp;Logo'!$B$592</f>
        <v>Odległość od dolnej krawędzi (lewej)</v>
      </c>
      <c r="CA35" t="str">
        <f>'Translate&amp;Prices&amp;Logo'!$B$675&amp;" "&amp;'Translate&amp;Prices&amp;Logo'!$B$594</f>
        <v>Odległość od dolnej krawędzi (prawej)</v>
      </c>
      <c r="CC35" t="s">
        <v>4533</v>
      </c>
      <c r="CD35" t="s">
        <v>4535</v>
      </c>
      <c r="ED35" t="s">
        <v>1681</v>
      </c>
      <c r="EE35" t="s">
        <v>1775</v>
      </c>
      <c r="ER35" t="s">
        <v>2171</v>
      </c>
      <c r="ES35" t="s">
        <v>2171</v>
      </c>
    </row>
    <row r="36" spans="1:149">
      <c r="A36" t="str">
        <f>'Translate&amp;Prices&amp;Logo'!$B$66</f>
        <v>Rimini elox naturalna - maksymalna długość profilu 1100 mm</v>
      </c>
      <c r="B36">
        <v>1</v>
      </c>
      <c r="C36" t="s">
        <v>651</v>
      </c>
      <c r="D36">
        <v>0</v>
      </c>
      <c r="ED36" t="s">
        <v>1620</v>
      </c>
      <c r="EE36" t="s">
        <v>1776</v>
      </c>
      <c r="ER36" t="s">
        <v>2172</v>
      </c>
      <c r="ES36" t="s">
        <v>2172</v>
      </c>
    </row>
    <row r="37" spans="1:149">
      <c r="A37" t="str">
        <f>'Translate&amp;Prices&amp;Logo'!$B$67</f>
        <v>Rimini czarny mat - maksymalna długość profilu 1100 mm</v>
      </c>
      <c r="B37">
        <v>1</v>
      </c>
      <c r="C37" t="s">
        <v>651</v>
      </c>
      <c r="D37">
        <v>0</v>
      </c>
      <c r="BY37" t="s">
        <v>1332</v>
      </c>
      <c r="ED37" t="s">
        <v>1621</v>
      </c>
      <c r="EE37" t="s">
        <v>1777</v>
      </c>
      <c r="ER37" t="s">
        <v>2215</v>
      </c>
      <c r="ES37" t="s">
        <v>2209</v>
      </c>
    </row>
    <row r="38" spans="1:149">
      <c r="A38" t="str">
        <f>'Translate&amp;Prices&amp;Logo'!$B$68</f>
        <v>Rimini champagne - maksymalna długość profilu 1100 mm</v>
      </c>
      <c r="B38">
        <v>1</v>
      </c>
      <c r="C38" t="s">
        <v>651</v>
      </c>
      <c r="D38">
        <v>0</v>
      </c>
      <c r="ED38" t="s">
        <v>1622</v>
      </c>
      <c r="EE38" t="s">
        <v>1778</v>
      </c>
      <c r="ER38" t="s">
        <v>2216</v>
      </c>
      <c r="ES38" t="s">
        <v>2210</v>
      </c>
    </row>
    <row r="39" spans="1:149">
      <c r="A39" t="str">
        <f>'Translate&amp;Prices&amp;Logo'!$B$69</f>
        <v>Rimini zlota - maksymalna długość profilu 1100 mm</v>
      </c>
      <c r="B39">
        <v>1</v>
      </c>
      <c r="C39" t="s">
        <v>651</v>
      </c>
      <c r="D39">
        <v>0</v>
      </c>
      <c r="AA39" t="s">
        <v>2500</v>
      </c>
      <c r="AB39" t="s">
        <v>2498</v>
      </c>
      <c r="ED39" t="s">
        <v>1623</v>
      </c>
      <c r="EE39" t="s">
        <v>1779</v>
      </c>
      <c r="ER39" t="s">
        <v>2217</v>
      </c>
      <c r="ES39" t="s">
        <v>2211</v>
      </c>
    </row>
    <row r="40" spans="1:149">
      <c r="A40" t="str">
        <f>'Translate&amp;Prices&amp;Logo'!$B$70</f>
        <v>Rimini zlota szczotkowana - maksymalna długość profilu 1100 mm</v>
      </c>
      <c r="B40">
        <v>1</v>
      </c>
      <c r="C40" t="s">
        <v>651</v>
      </c>
      <c r="D40">
        <v>0</v>
      </c>
      <c r="AA40" t="s">
        <v>2500</v>
      </c>
      <c r="AB40" t="str">
        <f>'Translate&amp;Prices&amp;Logo'!B661</f>
        <v>StrongLift_gorny</v>
      </c>
      <c r="AC40">
        <v>1</v>
      </c>
      <c r="AD40">
        <v>0</v>
      </c>
      <c r="ED40" t="s">
        <v>1624</v>
      </c>
      <c r="EE40" t="s">
        <v>1780</v>
      </c>
      <c r="ER40" t="s">
        <v>2218</v>
      </c>
      <c r="ES40" t="s">
        <v>2212</v>
      </c>
    </row>
    <row r="41" spans="1:149">
      <c r="A41" t="str">
        <f>'Translate&amp;Prices&amp;Logo'!$B$50</f>
        <v>Rocca (elox.) - maksymalna zalecana zalecana długość profilu 2150 mm</v>
      </c>
      <c r="B41">
        <v>1</v>
      </c>
      <c r="C41" t="s">
        <v>651</v>
      </c>
      <c r="D41">
        <v>0</v>
      </c>
      <c r="AB41" t="str">
        <f>'Translate&amp;Prices&amp;Logo'!B662</f>
        <v>StrongLift_dolny</v>
      </c>
      <c r="AC41">
        <v>1</v>
      </c>
      <c r="AD41">
        <v>0</v>
      </c>
      <c r="ED41" t="s">
        <v>1625</v>
      </c>
      <c r="EE41" t="s">
        <v>1781</v>
      </c>
      <c r="ER41" t="s">
        <v>2219</v>
      </c>
      <c r="ES41" t="s">
        <v>2213</v>
      </c>
    </row>
    <row r="42" spans="1:149">
      <c r="A42" t="str">
        <f>'Translate&amp;Prices&amp;Logo'!$B$42</f>
        <v>Rocca czarny matowy - maksymalna zalecana zalecana długość profilu 2150 mm</v>
      </c>
      <c r="B42">
        <v>1</v>
      </c>
      <c r="C42" t="s">
        <v>651</v>
      </c>
      <c r="D42">
        <v>0</v>
      </c>
      <c r="AA42" t="s">
        <v>2082</v>
      </c>
      <c r="AB42" t="s">
        <v>1010</v>
      </c>
      <c r="ED42" t="s">
        <v>1626</v>
      </c>
      <c r="EE42" t="s">
        <v>1782</v>
      </c>
      <c r="ER42" t="s">
        <v>2220</v>
      </c>
      <c r="ES42" t="s">
        <v>2214</v>
      </c>
    </row>
    <row r="43" spans="1:149">
      <c r="A43" t="str">
        <f>'Translate&amp;Prices&amp;Logo'!$B$63</f>
        <v>Treviso czarny matowy - maksymalna zalecana długość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maksymalna zalecana zalecana długość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szczotkowany - maksymalna zalecana zalecana długość profilu 2500 mm</v>
      </c>
      <c r="B45">
        <v>1</v>
      </c>
      <c r="C45" t="s">
        <v>651</v>
      </c>
      <c r="D45">
        <v>0</v>
      </c>
      <c r="AB45" t="s">
        <v>1111</v>
      </c>
      <c r="AC45">
        <v>0</v>
      </c>
      <c r="AD45">
        <v>0</v>
      </c>
      <c r="ED45" t="s">
        <v>1629</v>
      </c>
      <c r="EE45" t="s">
        <v>1785</v>
      </c>
      <c r="ER45" t="s">
        <v>2239</v>
      </c>
      <c r="ES45" t="s">
        <v>2233</v>
      </c>
    </row>
    <row r="46" spans="1:149">
      <c r="A46" t="str">
        <f>'Translate&amp;Prices&amp;Logo'!$B$37</f>
        <v>Verona czarny matowy - maksymalna zalecana zalecana długość profilu 2500 mm</v>
      </c>
      <c r="B46">
        <v>1</v>
      </c>
      <c r="C46" t="s">
        <v>651</v>
      </c>
      <c r="D46">
        <v>0</v>
      </c>
      <c r="ED46" t="s">
        <v>1630</v>
      </c>
      <c r="EE46" t="s">
        <v>1786</v>
      </c>
      <c r="ER46" t="s">
        <v>2240</v>
      </c>
      <c r="ES46" t="s">
        <v>2234</v>
      </c>
    </row>
    <row r="47" spans="1:149">
      <c r="A47" t="str">
        <f>'Translate&amp;Prices&amp;Logo'!$B$36</f>
        <v>Verona czarny połysk - maksymalna zalecana zalecana długość profilu 2500 mm</v>
      </c>
      <c r="B47">
        <v>1</v>
      </c>
      <c r="C47" t="s">
        <v>651</v>
      </c>
      <c r="D47">
        <v>0</v>
      </c>
      <c r="ED47" t="s">
        <v>1631</v>
      </c>
      <c r="EE47" t="s">
        <v>1787</v>
      </c>
      <c r="ER47" t="s">
        <v>2241</v>
      </c>
      <c r="ES47" t="s">
        <v>2235</v>
      </c>
    </row>
    <row r="48" spans="1:149">
      <c r="A48" t="str">
        <f>'Translate&amp;Prices&amp;Logo'!$B$38</f>
        <v>Verona braz - maksymalna zalecana zalecana długość profilu 2500 mm</v>
      </c>
      <c r="B48">
        <v>1</v>
      </c>
      <c r="C48" t="s">
        <v>651</v>
      </c>
      <c r="D48">
        <v>0</v>
      </c>
      <c r="ED48" t="s">
        <v>1632</v>
      </c>
      <c r="EE48" t="s">
        <v>1788</v>
      </c>
      <c r="ER48" t="s">
        <v>2242</v>
      </c>
      <c r="ES48" t="s">
        <v>2236</v>
      </c>
    </row>
    <row r="49" spans="1:149">
      <c r="A49" t="str">
        <f>'Translate&amp;Prices&amp;Logo'!$B$39</f>
        <v>Verona szampański - maksymalna zalecana zalecana długość profilu 2500 mm</v>
      </c>
      <c r="B49">
        <v>1</v>
      </c>
      <c r="C49" t="s">
        <v>651</v>
      </c>
      <c r="D49">
        <v>0</v>
      </c>
      <c r="AA49" t="s">
        <v>2083</v>
      </c>
      <c r="AB49" t="s">
        <v>2085</v>
      </c>
      <c r="ED49" t="s">
        <v>1633</v>
      </c>
      <c r="EE49" t="s">
        <v>1789</v>
      </c>
      <c r="ER49" t="s">
        <v>2243</v>
      </c>
      <c r="ES49" t="s">
        <v>2237</v>
      </c>
    </row>
    <row r="50" spans="1:149">
      <c r="A50" t="str">
        <f>'Translate&amp;Prices&amp;Logo'!$B$40</f>
        <v>Verona Inox szczotkowany (Inox Lija)- maksymalna zalecana zalecana długość profilu 2500 mm</v>
      </c>
      <c r="B50">
        <v>1</v>
      </c>
      <c r="C50" t="s">
        <v>651</v>
      </c>
      <c r="D50">
        <v>0</v>
      </c>
      <c r="AB50" t="s">
        <v>2374</v>
      </c>
      <c r="AC50">
        <v>0</v>
      </c>
      <c r="AD50">
        <v>0</v>
      </c>
      <c r="ED50" t="s">
        <v>1634</v>
      </c>
      <c r="EE50" t="s">
        <v>1790</v>
      </c>
      <c r="ER50" t="s">
        <v>2244</v>
      </c>
      <c r="ES50" t="s">
        <v>2238</v>
      </c>
    </row>
    <row r="51" spans="1:149">
      <c r="A51" t="str">
        <f>'Translate&amp;Prices&amp;Logo'!$B$41</f>
        <v>Verona Acier Gratta - maksymalna zalecana zalecana długość profilu 2500 mm</v>
      </c>
      <c r="B51">
        <v>1</v>
      </c>
      <c r="C51" t="s">
        <v>651</v>
      </c>
      <c r="D51">
        <v>0</v>
      </c>
      <c r="AB51" t="s">
        <v>2376</v>
      </c>
      <c r="AC51">
        <v>0</v>
      </c>
      <c r="AD51">
        <v>0</v>
      </c>
      <c r="ED51" t="s">
        <v>1635</v>
      </c>
      <c r="EE51" t="s">
        <v>1791</v>
      </c>
      <c r="ER51" t="s">
        <v>2473</v>
      </c>
      <c r="ES51" t="s">
        <v>2465</v>
      </c>
    </row>
    <row r="52" spans="1:149">
      <c r="A52" t="str">
        <f>'Translate&amp;Prices&amp;Logo'!$B$62</f>
        <v>Verona Ivory mat - maksymalna zalecana zalecana długość profilu 2150 mm</v>
      </c>
      <c r="B52">
        <v>1</v>
      </c>
      <c r="C52" t="s">
        <v>651</v>
      </c>
      <c r="D52">
        <v>0</v>
      </c>
      <c r="AB52" t="s">
        <v>2371</v>
      </c>
      <c r="AC52">
        <v>0</v>
      </c>
      <c r="AD52">
        <v>0</v>
      </c>
      <c r="ED52" t="s">
        <v>1636</v>
      </c>
      <c r="EE52" t="s">
        <v>1792</v>
      </c>
      <c r="ER52" t="s">
        <v>2474</v>
      </c>
      <c r="ES52" t="s">
        <v>2466</v>
      </c>
    </row>
    <row r="53" spans="1:149">
      <c r="A53" t="str">
        <f>'Translate&amp;Prices&amp;Logo'!$B$65</f>
        <v>Verona kaszmirowy - maksymalna zalecana długość profilu 2150 mm</v>
      </c>
      <c r="B53">
        <v>1</v>
      </c>
      <c r="C53" t="s">
        <v>651</v>
      </c>
      <c r="D53">
        <v>0</v>
      </c>
      <c r="AB53" t="s">
        <v>2372</v>
      </c>
      <c r="AC53">
        <v>0</v>
      </c>
      <c r="AD53">
        <v>0</v>
      </c>
      <c r="ED53" t="s">
        <v>1637</v>
      </c>
      <c r="EE53" t="s">
        <v>1793</v>
      </c>
      <c r="ER53" t="s">
        <v>2475</v>
      </c>
      <c r="ES53" t="s">
        <v>2467</v>
      </c>
    </row>
    <row r="54" spans="1:149">
      <c r="A54" t="str">
        <f>'Translate&amp;Prices&amp;Logo'!$B$24</f>
        <v>Verona złota - maksymalna zalecana długość profilu 2150 mm</v>
      </c>
      <c r="B54">
        <v>1</v>
      </c>
      <c r="C54" t="s">
        <v>651</v>
      </c>
      <c r="D54">
        <v>0</v>
      </c>
      <c r="ED54" t="s">
        <v>1638</v>
      </c>
      <c r="EE54" t="s">
        <v>1794</v>
      </c>
      <c r="ER54" t="s">
        <v>2476</v>
      </c>
      <c r="ES54" t="s">
        <v>2468</v>
      </c>
    </row>
    <row r="55" spans="1:149">
      <c r="A55" t="str">
        <f>'Translate&amp;Prices&amp;Logo'!$B$56</f>
        <v>Verona złota szczotkowany - maksymalna zalecana zalecana długość profilu 2150 mm</v>
      </c>
      <c r="B55">
        <v>1</v>
      </c>
      <c r="C55" t="s">
        <v>651</v>
      </c>
      <c r="D55">
        <v>0</v>
      </c>
      <c r="ED55" t="s">
        <v>1639</v>
      </c>
      <c r="EE55" t="s">
        <v>1795</v>
      </c>
      <c r="ER55" t="s">
        <v>2477</v>
      </c>
      <c r="ES55" t="s">
        <v>2469</v>
      </c>
    </row>
    <row r="56" spans="1:149">
      <c r="A56" t="str">
        <f>'Translate&amp;Prices&amp;Logo'!$B$43</f>
        <v>Vivaro (elox.) - maksymalna zalecana zalecana długość profilu 2500 mm</v>
      </c>
      <c r="B56">
        <v>2</v>
      </c>
      <c r="C56" t="s">
        <v>651</v>
      </c>
      <c r="D56">
        <v>1</v>
      </c>
      <c r="ED56" t="s">
        <v>1640</v>
      </c>
      <c r="EE56" t="s">
        <v>1796</v>
      </c>
      <c r="ER56" t="s">
        <v>2478</v>
      </c>
      <c r="ES56" t="s">
        <v>2470</v>
      </c>
    </row>
    <row r="57" spans="1:149">
      <c r="A57" t="str">
        <f>'Translate&amp;Prices&amp;Logo'!$B$44</f>
        <v>Vivaro czarny matowy - maksymalna zalecana zalecana długość profilu 2500 mm</v>
      </c>
      <c r="B57">
        <v>2</v>
      </c>
      <c r="C57" t="s">
        <v>651</v>
      </c>
      <c r="D57">
        <v>1</v>
      </c>
      <c r="ED57" t="s">
        <v>1641</v>
      </c>
      <c r="EE57" t="s">
        <v>1797</v>
      </c>
      <c r="ER57" t="s">
        <v>2221</v>
      </c>
      <c r="ES57" t="s">
        <v>2209</v>
      </c>
    </row>
    <row r="58" spans="1:149">
      <c r="A58" t="str">
        <f>'Translate&amp;Prices&amp;Logo'!$B$46</f>
        <v>Vivaro INOX LIJA - maksymalna zalecana zalecana długość profilu 2500 mm</v>
      </c>
      <c r="B58">
        <v>2</v>
      </c>
      <c r="C58" t="s">
        <v>651</v>
      </c>
      <c r="D58">
        <v>0</v>
      </c>
      <c r="ED58" t="s">
        <v>1642</v>
      </c>
      <c r="EE58" t="s">
        <v>1798</v>
      </c>
      <c r="ER58" t="s">
        <v>2222</v>
      </c>
      <c r="ES58" t="s">
        <v>2210</v>
      </c>
    </row>
    <row r="59" spans="1:149">
      <c r="A59" t="str">
        <f>'Translate&amp;Prices&amp;Logo'!$B$47</f>
        <v>Vivaro biały matowy RAL 9003 - maksymalna zalecana zalecana długość profilu 2500 mm</v>
      </c>
      <c r="B59">
        <v>2</v>
      </c>
      <c r="C59" t="s">
        <v>651</v>
      </c>
      <c r="D59">
        <v>0</v>
      </c>
      <c r="AA59" t="s">
        <v>2084</v>
      </c>
      <c r="AB59" t="s">
        <v>2086</v>
      </c>
      <c r="ED59" t="s">
        <v>1643</v>
      </c>
      <c r="EE59" t="s">
        <v>1799</v>
      </c>
      <c r="ER59" t="s">
        <v>2223</v>
      </c>
      <c r="ES59" t="s">
        <v>2211</v>
      </c>
    </row>
    <row r="60" spans="1:149">
      <c r="A60" t="str">
        <f>'Translate&amp;Prices&amp;Logo'!$B$48</f>
        <v>Vivaro biały połysk RAL 9003 - maksymalna zalecana zalecana długość profilu 2500 mm</v>
      </c>
      <c r="B60">
        <v>2</v>
      </c>
      <c r="C60" t="s">
        <v>651</v>
      </c>
      <c r="D60">
        <v>0</v>
      </c>
      <c r="AB60" t="s">
        <v>968</v>
      </c>
      <c r="AC60">
        <v>0</v>
      </c>
      <c r="AD60">
        <v>0</v>
      </c>
      <c r="ED60" t="s">
        <v>1644</v>
      </c>
      <c r="EE60" t="s">
        <v>1800</v>
      </c>
      <c r="ER60" t="s">
        <v>2224</v>
      </c>
      <c r="ES60" t="s">
        <v>2212</v>
      </c>
    </row>
    <row r="61" spans="1:149">
      <c r="A61" t="str">
        <f>'Translate&amp;Prices&amp;Logo'!$B$31</f>
        <v>Vivaro złota - maksymalna zalecana zalecana długość profilu 2150 mm</v>
      </c>
      <c r="B61">
        <v>2</v>
      </c>
      <c r="C61" t="s">
        <v>651</v>
      </c>
      <c r="D61">
        <v>1</v>
      </c>
      <c r="AB61" t="s">
        <v>970</v>
      </c>
      <c r="AC61">
        <v>0</v>
      </c>
      <c r="AD61">
        <v>0</v>
      </c>
      <c r="ED61" t="s">
        <v>1645</v>
      </c>
      <c r="EE61" t="s">
        <v>1801</v>
      </c>
      <c r="ER61" t="s">
        <v>2225</v>
      </c>
      <c r="ES61" t="s">
        <v>2213</v>
      </c>
    </row>
    <row r="62" spans="1:149">
      <c r="A62" t="str">
        <f>'Translate&amp;Prices&amp;Logo'!$B$57</f>
        <v>Vivaro złota szczotkowany - maksymalna zalecana zalecana długość profilu 2150 mm</v>
      </c>
      <c r="B62">
        <v>2</v>
      </c>
      <c r="C62" t="s">
        <v>651</v>
      </c>
      <c r="D62">
        <v>0</v>
      </c>
      <c r="AB62" t="s">
        <v>971</v>
      </c>
      <c r="AC62">
        <v>0</v>
      </c>
      <c r="AD62">
        <v>0</v>
      </c>
      <c r="ED62" t="s">
        <v>1646</v>
      </c>
      <c r="EE62" t="s">
        <v>1802</v>
      </c>
      <c r="ER62" t="s">
        <v>2226</v>
      </c>
      <c r="ES62" t="s">
        <v>2214</v>
      </c>
    </row>
    <row r="63" spans="1:149">
      <c r="A63" t="str">
        <f>'Translate&amp;Prices&amp;Logo'!$B$82</f>
        <v>Rocca elox (lewa i prawa) + Varna elox (góra i dół)</v>
      </c>
      <c r="B63">
        <v>3</v>
      </c>
      <c r="C63" t="s">
        <v>651</v>
      </c>
      <c r="D63">
        <v>0</v>
      </c>
      <c r="AB63" t="s">
        <v>973</v>
      </c>
      <c r="AC63">
        <v>0</v>
      </c>
      <c r="AD63">
        <v>0</v>
      </c>
      <c r="ED63" t="s">
        <v>1647</v>
      </c>
      <c r="EE63" t="s">
        <v>1803</v>
      </c>
      <c r="ER63" t="s">
        <v>2479</v>
      </c>
      <c r="ES63" t="s">
        <v>2463</v>
      </c>
    </row>
    <row r="64" spans="1:149">
      <c r="A64" t="str">
        <f>'Translate&amp;Prices&amp;Logo'!$B$83</f>
        <v>Rocca czarny (lewa i prawa) + Varna czarny (góra i dół)</v>
      </c>
      <c r="B64">
        <v>3</v>
      </c>
      <c r="C64" t="s">
        <v>651</v>
      </c>
      <c r="D64">
        <v>0</v>
      </c>
      <c r="ED64" t="s">
        <v>1648</v>
      </c>
      <c r="EE64" t="s">
        <v>1804</v>
      </c>
      <c r="ER64" t="s">
        <v>2480</v>
      </c>
      <c r="ES64" t="s">
        <v>2464</v>
      </c>
    </row>
    <row r="65" spans="1:149">
      <c r="A65" t="str">
        <f>'Translate&amp;Prices&amp;Logo'!$B$73</f>
        <v>ROMA czarna matowa -  maksymalna zalecana długość profilu 2696 mm</v>
      </c>
      <c r="B65">
        <v>1</v>
      </c>
      <c r="C65" t="s">
        <v>651</v>
      </c>
      <c r="D65">
        <v>0</v>
      </c>
      <c r="ED65" t="s">
        <v>1682</v>
      </c>
      <c r="EE65" t="s">
        <v>3183</v>
      </c>
      <c r="EF65">
        <f>LEN(EE65)</f>
        <v>71</v>
      </c>
      <c r="ER65" t="s">
        <v>2245</v>
      </c>
      <c r="ES65" t="s">
        <v>2233</v>
      </c>
    </row>
    <row r="66" spans="1:149">
      <c r="A66" t="str">
        <f>'Translate&amp;Prices&amp;Logo'!$B$74</f>
        <v>ROMA champagne mat - maksymalna zalecana długość profilu 2696 mm</v>
      </c>
      <c r="B66">
        <v>1</v>
      </c>
      <c r="C66" t="s">
        <v>651</v>
      </c>
      <c r="D66">
        <v>0</v>
      </c>
      <c r="ED66" t="s">
        <v>1683</v>
      </c>
      <c r="EE66" t="s">
        <v>3186</v>
      </c>
      <c r="ER66" t="s">
        <v>2246</v>
      </c>
      <c r="ES66" t="s">
        <v>2234</v>
      </c>
    </row>
    <row r="67" spans="1:149">
      <c r="A67" t="str">
        <f>'Translate&amp;Prices&amp;Logo'!$B$75</f>
        <v>ROMA GRIP czarna matowa - maksymalna zalecana długość profilu 2696 mm</v>
      </c>
      <c r="B67">
        <v>1</v>
      </c>
      <c r="C67" t="s">
        <v>651</v>
      </c>
      <c r="D67">
        <v>0</v>
      </c>
      <c r="Q67" t="str">
        <f>'Translate&amp;Prices&amp;Logo'!$B$71</f>
        <v>BRW champagne - maksymalna zalecana długość profilu 2500 mm</v>
      </c>
      <c r="ED67" t="s">
        <v>1684</v>
      </c>
      <c r="EE67" t="s">
        <v>3188</v>
      </c>
      <c r="ER67" t="s">
        <v>2247</v>
      </c>
      <c r="ES67" t="s">
        <v>2235</v>
      </c>
    </row>
    <row r="68" spans="1:149">
      <c r="A68" t="str">
        <f>'Translate&amp;Prices&amp;Logo'!$B$76</f>
        <v>ROMA GRIP champagne mat - maksymalna zalecana długość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86DBBCE8-8588-4109-A051-3B533BC8817A}">
            <xm:f>OR(Ram_4!$AU$10=1,Ram_4!$AU$10=3)</xm:f>
            <x14:dxf>
              <fill>
                <patternFill patternType="darkDown"/>
              </fill>
            </x14:dxf>
          </x14:cfRule>
          <xm:sqref>CH13</xm:sqref>
        </x14:conditionalFormatting>
        <x14:conditionalFormatting xmlns:xm="http://schemas.microsoft.com/office/excel/2006/main">
          <x14:cfRule type="expression" priority="2" id="{6031F979-4BF5-4E32-A283-8DB6F925B85B}">
            <xm:f>OR(Ram_4!$AU$10=2,Ram_4!$AU$10=3)</xm:f>
            <x14:dxf>
              <fill>
                <patternFill patternType="darkDown"/>
              </fill>
            </x14:dxf>
          </x14:cfRule>
          <xm:sqref>CH14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1996-F553-4F1C-A063-FA80D6FCEC94}">
  <sheetPr codeName="List1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"&amp;5</f>
        <v>Ramka  5</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Wprowadzenie</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IFERROR(IF(kombinace_5!FC2=TRUE,'Translate&amp;Prices&amp;Logo'!B656,IF(VLOOKUP(H8,kombinace_5!$A:$E,5,0)=3,'Translate&amp;Prices&amp;Logo'!B644,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Ramka  1</v>
      </c>
      <c r="C5" s="594"/>
      <c r="D5" s="594"/>
      <c r="E5" s="106"/>
      <c r="F5" s="594" t="str">
        <f>'Translate&amp;Prices&amp;Logo'!$B$171&amp;" "&amp;" "&amp;2</f>
        <v>Ramka  2</v>
      </c>
      <c r="G5" s="594"/>
      <c r="H5" s="594"/>
      <c r="I5" s="9"/>
      <c r="J5" s="594" t="str">
        <f>'Translate&amp;Prices&amp;Logo'!$B$171&amp;" "&amp;" "&amp;3</f>
        <v>Ramka  3</v>
      </c>
      <c r="K5" s="594"/>
      <c r="L5" s="594"/>
      <c r="M5" s="9"/>
      <c r="N5" s="594" t="str">
        <f>'Translate&amp;Prices&amp;Logo'!$B$171&amp;" "&amp;" "&amp;4</f>
        <v>Ramka  4</v>
      </c>
      <c r="O5" s="594"/>
      <c r="P5" s="594"/>
      <c r="Q5" s="9"/>
      <c r="R5" s="593" t="str">
        <f>'Translate&amp;Prices&amp;Logo'!$B$171&amp;" "&amp;" "&amp;5</f>
        <v>Ramka  5</v>
      </c>
      <c r="S5" s="593"/>
      <c r="T5" s="593"/>
      <c r="U5" s="9"/>
      <c r="V5" s="594" t="str">
        <f>'Translate&amp;Prices&amp;Logo'!$B$171&amp;" "&amp;" "&amp;6</f>
        <v>Ramka  6</v>
      </c>
      <c r="W5" s="594"/>
      <c r="X5" s="594"/>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Połączenie 2 profili</v>
      </c>
      <c r="C7" s="598"/>
      <c r="D7" s="598"/>
      <c r="E7" s="598"/>
      <c r="F7" s="598"/>
      <c r="G7" s="635" t="str">
        <f>IF(kombinace_5!FC2=TRUE,AB4,"")</f>
        <v/>
      </c>
      <c r="H7" s="635"/>
      <c r="I7" s="635"/>
      <c r="J7" s="635"/>
      <c r="K7" s="635"/>
      <c r="L7" s="635"/>
      <c r="M7" s="635"/>
      <c r="N7" s="635"/>
      <c r="O7" s="635"/>
      <c r="P7" s="635"/>
      <c r="Q7" s="636"/>
      <c r="R7" s="224"/>
      <c r="S7" s="602" t="str">
        <f>'Translate&amp;Prices&amp;Logo'!$B$574</f>
        <v>Ważne informacje: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VLOOKUP(H8,kombinace_5!$A3:$B100,2,0)</f>
        <v>#N/A</v>
      </c>
      <c r="AV7" s="140" t="e">
        <f>IF(AU7=2,"Široký",IF(AU7=1,"Úzký",IF(AU7=3,"kombo")))</f>
        <v>#N/A</v>
      </c>
    </row>
    <row r="8" spans="1:65" ht="45.6" customHeight="1">
      <c r="A8" s="61"/>
      <c r="B8" s="216" t="str">
        <f>'Translate&amp;Prices&amp;Logo'!$B$655</f>
        <v>Wypełnienie z siatki</v>
      </c>
      <c r="C8" s="217"/>
      <c r="D8" s="217"/>
      <c r="E8" s="218" t="str">
        <f>'Translate&amp;Prices&amp;Logo'!$B$174</f>
        <v>Rodzaj profilu</v>
      </c>
      <c r="F8" s="218"/>
      <c r="G8" s="223"/>
      <c r="H8" s="603"/>
      <c r="I8" s="603"/>
      <c r="J8" s="603"/>
      <c r="K8" s="603"/>
      <c r="L8" s="603"/>
      <c r="M8" s="603"/>
      <c r="N8" s="603"/>
      <c r="O8" s="603"/>
      <c r="P8" s="603"/>
      <c r="Q8" s="604"/>
      <c r="R8" s="225"/>
      <c r="S8" s="617" t="str">
        <f>IF(AU10&gt;0,'Translate&amp;Prices&amp;Logo'!B305,IF(OR(H8=kombinace_5!A64,H8=kombinace_5!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Odległość od lewej krawędzi</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IFERROR(IF(AND(VLOOKUP(H8,kombinace_5!$A:$D,4,0)=1,kombinace_5!FC2=FALSE),'Translate&amp;Prices&amp;Logo'!$B$545,0),0)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Rozstaw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IFERROR((VLOOKUP(H12,kombinace_5!$DP$2:$DQ$3,2,0)),"")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Odległość od górnej krawędzi</v>
      </c>
      <c r="AF10" s="9"/>
      <c r="AG10" s="9"/>
      <c r="AH10" s="9"/>
      <c r="AI10" s="60"/>
      <c r="AJ10" s="61"/>
      <c r="AK10" s="9"/>
      <c r="AL10" s="9"/>
      <c r="AM10" s="9"/>
      <c r="AN10" s="9"/>
      <c r="AO10" s="9"/>
      <c r="AP10" s="77"/>
      <c r="AQ10" s="307"/>
      <c r="AR10" s="9"/>
      <c r="AS10" s="9"/>
      <c r="AT10" s="139" t="s">
        <v>1196</v>
      </c>
      <c r="AU10" s="140">
        <f>IFERROR(VLOOKUP(H9,kombinace_5!$BY$13:$BZ$15,2,0),0)</f>
        <v>0</v>
      </c>
      <c r="AV10" s="140"/>
    </row>
    <row r="11" spans="1:65" ht="18" customHeight="1">
      <c r="A11" s="61"/>
      <c r="B11" s="631" t="str">
        <f>('Translate&amp;Prices&amp;Logo'!$B$545)&amp;" "&amp;"("&amp;'Translate&amp;Prices&amp;Logo'!$B$176&amp;")"</f>
        <v>Szprosy (Ilość sztuk)</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IFERROR(IF(kombinace_5!$H$1=TRUE,BA2+AY3,0),0)</f>
        <v>0</v>
      </c>
      <c r="AU11" s="146"/>
      <c r="AV11" s="140"/>
    </row>
    <row r="12" spans="1:65" ht="18" customHeight="1">
      <c r="A12" s="61"/>
      <c r="B12" s="608" t="str">
        <f>'Translate&amp;Prices&amp;Logo'!$B$260</f>
        <v>Typ okucia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Marka okucia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Rozstaw  mm</v>
      </c>
      <c r="AE14" s="647"/>
      <c r="AF14" s="9"/>
      <c r="AG14" s="9"/>
      <c r="AH14" s="9"/>
      <c r="AI14" s="60"/>
      <c r="AJ14" s="61"/>
      <c r="AK14" s="9"/>
      <c r="AL14" s="9"/>
      <c r="AM14" s="645" t="str">
        <f>('Translate&amp;Prices&amp;Logo'!$B$550)&amp;" "&amp;H26&amp;" "&amp;"mm"</f>
        <v>Rozstaw  mm</v>
      </c>
      <c r="AN14" s="9"/>
      <c r="AO14" s="81"/>
      <c r="AP14" s="74"/>
      <c r="AQ14" s="307"/>
      <c r="AR14" s="585"/>
      <c r="AS14" s="9"/>
      <c r="AT14" s="146"/>
      <c r="AU14" s="140"/>
      <c r="AV14" s="140"/>
      <c r="AW14" s="165" t="s">
        <v>2197</v>
      </c>
    </row>
    <row r="15" spans="1:65" ht="18" customHeight="1" thickBot="1">
      <c r="A15" s="61"/>
      <c r="B15" s="608" t="str">
        <f>'Translate&amp;Prices&amp;Logo'!$B$547</f>
        <v>Wariant okucia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IF(H15=kombinace_5!AB40,'Translate&amp;Prices&amp;Logo'!$B$226,IF(H15=kombinace_5!AB41,'Translate&amp;Prices&amp;Logo'!$B$226,IF(H12='závěsy dle výklopu'!BQ2,'Translate&amp;Prices&amp;Logo'!$B$224,'Translate&amp;Prices&amp;Logo'!$B$220)))</f>
        <v>Wybierz pozycję ramki</v>
      </c>
      <c r="C16" s="630"/>
      <c r="D16" s="630"/>
      <c r="E16" s="630"/>
      <c r="F16" s="628"/>
      <c r="G16" s="628"/>
      <c r="H16" s="628"/>
      <c r="I16" s="628"/>
      <c r="J16" s="624" t="str">
        <f>IF(OR(H15=kombinace_5!AB40,H15=kombinace_5!AB7,H15=kombinace_5!AB15,H15=kombinace_5!AB20,H15=kombinace_5!AB21,H15=kombinace_5!AB22),'Translate&amp;Prices&amp;Logo'!$B$228,IF(H15=kombinace_5!AB41,'Translate&amp;Prices&amp;Logo'!$B$228,'Translate&amp;Prices&amp;Logo'!$B$234))</f>
        <v>Rodzaj drugiej ramki</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IF(H12='Translate&amp;Prices&amp;Logo'!B553,'Translate&amp;Prices&amp;Logo'!B240,IF(H15=kombinace_5!AB8,'Translate&amp;Prices&amp;Logo'!B286,0))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IF(H13="Salice",VLOOKUP(H17,kombinace_5!$BY:$BZ,2,0),0)</f>
        <v>0</v>
      </c>
    </row>
    <row r="18" spans="1:52" ht="18" customHeight="1">
      <c r="A18" s="61"/>
      <c r="B18" s="608">
        <f>IFERROR(IF(VLOOKUP(H15,kombinace_5!CD:CE,2,0)=1,'Translate&amp;Prices&amp;Logo'!$B$549,0),0)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IFERROR(IF(H12='Translate&amp;Prices&amp;Logo'!B553,'Translate&amp;Prices&amp;Logo'!$B$225,IF(VLOOKUP(H15,kombinace_5!CD:CE,2,0)=1,'Translate&amp;Prices&amp;Logo'!$B$225,)),0)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Odległość od dolnej krawędzi</v>
      </c>
      <c r="AM19" s="645"/>
      <c r="AN19" s="584">
        <v>0</v>
      </c>
      <c r="AO19" s="584"/>
      <c r="AP19" s="76"/>
      <c r="AQ19" s="307"/>
      <c r="AR19" s="583" t="str">
        <f>'Translate&amp;Prices&amp;Logo'!$B$178</f>
        <v>Wysokość</v>
      </c>
      <c r="AS19" s="9"/>
      <c r="AT19" s="146"/>
      <c r="AU19" s="138">
        <f>IFERROR(IF(H12='závěsy dle výklopu'!BR2,VLOOKUP(H15,kombinace_5!$CD$3:$CF$18,3,0),IF(H12='závěsy dle výklopu'!BQ2,1,0)),0)</f>
        <v>0</v>
      </c>
      <c r="AV19" s="140">
        <f>IFERROR(VLOOKUP(H15,kombinace_5!$CD:$CF,3,0),0)</f>
        <v>0</v>
      </c>
    </row>
    <row r="20" spans="1:52" ht="18" customHeight="1">
      <c r="A20" s="61"/>
      <c r="B20" s="633">
        <f>IF(H13&lt;&gt;"Salice",(IFERROR(VLOOKUP(H17,kombinace_5!$BY$32:$CA$35,2,0),0)),0)</f>
        <v>0</v>
      </c>
      <c r="C20" s="634"/>
      <c r="D20" s="634"/>
      <c r="E20" s="634"/>
      <c r="F20" s="620">
        <v>100</v>
      </c>
      <c r="G20" s="620"/>
      <c r="H20" s="620"/>
      <c r="I20" s="620"/>
      <c r="J20" s="634">
        <f>IFERROR(VLOOKUP(H17,kombinace_5!$BY$32:$CA$35,3,0),0)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IF(kombinace_5!FC2=FALSE,'Translate&amp;Prices&amp;Logo'!$B$175," ")</f>
        <v>Rodzaj szkła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Nie zmieniaj po wybraniu rodzaj szkła/siatka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VLOOKUP(H17,kombinace_5!$BY$3:$BZ$6,2,0)</f>
        <v>#N/A</v>
      </c>
      <c r="AV23" s="140"/>
    </row>
    <row r="24" spans="1:52" ht="18" customHeight="1">
      <c r="A24" s="61"/>
      <c r="B24" s="669" t="str">
        <f>'Translate&amp;Prices&amp;Logo'!$B$564</f>
        <v>Rodzaj folii</v>
      </c>
      <c r="C24" s="670"/>
      <c r="D24" s="670"/>
      <c r="E24" s="670"/>
      <c r="F24" s="670"/>
      <c r="G24" s="98"/>
      <c r="H24" s="590"/>
      <c r="I24" s="590"/>
      <c r="J24" s="590"/>
      <c r="K24" s="590"/>
      <c r="L24" s="590"/>
      <c r="M24" s="590"/>
      <c r="N24" s="590"/>
      <c r="O24" s="590"/>
      <c r="P24" s="590"/>
      <c r="Q24" s="607"/>
      <c r="R24" s="61"/>
      <c r="S24" s="602" t="str">
        <f>'Translate&amp;Prices&amp;Logo'!$B$179</f>
        <v>Uwagi (notatki)</v>
      </c>
      <c r="T24" s="602"/>
      <c r="U24" s="602"/>
      <c r="Z24" s="80"/>
      <c r="AA24" s="78"/>
      <c r="AB24" s="79"/>
      <c r="AC24" s="600" t="str">
        <f>'Translate&amp;Prices&amp;Logo'!$B$244</f>
        <v>Odległość od lewej krawędzi</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Rodzaj szkła/siatka</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Rozstaw  mm</v>
      </c>
      <c r="AG25" s="599"/>
      <c r="AH25" s="599"/>
      <c r="AI25" s="599"/>
      <c r="AJ25" s="599"/>
      <c r="AK25" s="599"/>
      <c r="AL25" s="644"/>
      <c r="AM25" s="601"/>
      <c r="AN25" s="9"/>
      <c r="AO25" s="80"/>
      <c r="AP25" s="83"/>
      <c r="AQ25" s="307"/>
      <c r="AR25" s="9"/>
      <c r="AS25" s="9"/>
      <c r="AT25" s="146"/>
      <c r="AU25" s="140" t="e">
        <f>VLOOKUP(H27,kombinace_5!$BY3:$BZ6,2,0)</f>
        <v>#N/A</v>
      </c>
      <c r="AV25" s="140"/>
    </row>
    <row r="26" spans="1:52" ht="18" customHeight="1">
      <c r="A26" s="61"/>
      <c r="B26" s="608" t="str">
        <f>'Translate&amp;Prices&amp;Logo'!$B$551</f>
        <v>Rozstaw uchwytu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Umieszczenie uchwytu</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Ilość sztuk</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VLOOKUP(H14,kombinace_5!$DN$7:$DO$24,2,0)</f>
        <v>#N/A</v>
      </c>
      <c r="AB29" s="643">
        <f>IF(kombinace_5!FC2=TRUE,AB4,IF(H12='závěsy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ramek</v>
      </c>
      <c r="C30" s="663"/>
      <c r="D30" s="663"/>
      <c r="E30" s="663"/>
      <c r="F30" s="663"/>
      <c r="G30" s="663"/>
      <c r="H30" s="663"/>
      <c r="I30" s="663"/>
      <c r="J30" s="663"/>
      <c r="K30" s="539"/>
      <c r="L30" s="638">
        <f>IF(OR((AI30&gt;AI43),(AR14&gt;AJ43)),"",((((AT11+AT13+AT15+AT17+AT33+AT35+AT37)*AT43)*(1-(Zakaznik!K21/100)))*AW24))</f>
        <v>0</v>
      </c>
      <c r="M30" s="638"/>
      <c r="N30" s="638"/>
      <c r="O30" s="638"/>
      <c r="P30" s="658" t="str">
        <f>VLOOKUP('Translate&amp;Prices&amp;Logo'!D1,'závěsy dle výklopu'!A204:B209,2,0)</f>
        <v>zl</v>
      </c>
      <c r="Q30" s="659"/>
      <c r="R30" s="61"/>
      <c r="S30" s="652"/>
      <c r="T30" s="653"/>
      <c r="U30" s="653"/>
      <c r="V30" s="653"/>
      <c r="W30" s="653"/>
      <c r="X30" s="653"/>
      <c r="Y30" s="654"/>
      <c r="Z30" s="9"/>
      <c r="AA30" s="9"/>
      <c r="AB30" s="61"/>
      <c r="AC30" s="9"/>
      <c r="AD30" s="9"/>
      <c r="AE30" s="9"/>
      <c r="AF30" s="642" t="str">
        <f>'Translate&amp;Prices&amp;Logo'!$B$177</f>
        <v>Szerokość</v>
      </c>
      <c r="AG30" s="642"/>
      <c r="AH30" s="642"/>
      <c r="AI30" s="637"/>
      <c r="AJ30" s="637"/>
      <c r="AK30" s="637"/>
      <c r="AL30" s="9"/>
      <c r="AM30" s="9"/>
      <c r="AN30" s="9"/>
      <c r="AO30" s="9"/>
      <c r="AP30" s="9"/>
      <c r="AQ30" s="9"/>
      <c r="AR30" s="9"/>
      <c r="AS30" s="9"/>
      <c r="AT30" s="146"/>
      <c r="AU30" s="138" t="e">
        <f>HLOOKUP("_Úzký_dolny_K12",kombinace_5!CV2:CW19,3,FALSE)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Podsumowanie</v>
      </c>
      <c r="AP31" s="512"/>
      <c r="AQ31" s="512"/>
      <c r="AR31" s="512"/>
      <c r="AS31" s="9"/>
      <c r="AT31" s="146"/>
      <c r="AU31" s="138" t="e">
        <f>AD44</f>
        <v>#N/A</v>
      </c>
    </row>
    <row r="32" spans="1:52" ht="17.25" customHeight="1">
      <c r="A32" s="61"/>
      <c r="B32" s="625" t="str">
        <f>'Translate&amp;Prices&amp;Logo'!$B$173</f>
        <v>Podane ceny nie zawierają podatku VAT ani nie zawierają ceny okuć!</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Ramki aluminiowe bez szkła dostarczane są w stanie rozmontowanym.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IF(kombinace_5!V1=2,((AR14/1000)*(AI30/1000))*'Translate&amp;Prices&amp;Logo'!C96,0)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IF(kombinace_5!$V$1=3,IFERROR(((VLOOKUP(H24,'Translate&amp;Prices&amp;Logo'!B93:C95,2,0))*(AR14/1000)),0),0)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IF(kombinace_5!FC2=TRUE,_profily_síťka,IF(kombinace_5!H1=TRUE,_kombinovane_profily,_vše_profily))</f>
        <v>BRW (elox.) - maksymalna zalecana długość profilu 2500 mm</v>
      </c>
      <c r="L36" s="157" t="str">
        <f t="array" ref="L36:M36">IF(kombinace_5!H1=TRUE,'závěsy dle výklopu'!$BQ$2:$BR$2,
IF(H8=kombinace_5!A41,'závěsy dle výklopu'!$BQ$2,IF(H8=kombinace_5!A42,'závěsy dle výklopu'!$BQ$2,IF(H8=kombinace_5!A65,'závěsy dle výklopu'!$BQ$2,IF(H8=kombinace_5!A66,'závěsy dle výklopu'!$BQ$2,IF(H8=kombinace_5!A67,'závěsy dle výklopu'!$BQ$2,IF(H8=kombinace_5!A68,'závěsy dle výklopu'!$BQ$2,IF(OR(H8='Translate&amp;Prices&amp;Logo'!B66,H8='Translate&amp;Prices&amp;Logo'!B67,H8='Translate&amp;Prices&amp;Logo'!B68,H8='Translate&amp;Prices&amp;Logo'!B69,H8='Translate&amp;Prices&amp;Logo'!B70),"",'závěsy dle výklopu'!$BQ$2:$BR$2))))))))</f>
        <v>Zawiasy</v>
      </c>
      <c r="M36" s="157" t="str">
        <v>Podnośniki</v>
      </c>
      <c r="P36" s="157" t="str" cm="1">
        <f t="array" ref="P36:P38">IF(H13=kombinace_5!BQ11,kombinace_5!$DN$2,kombinace_5!$DN$2:$DN$4)</f>
        <v>Nakładany</v>
      </c>
      <c r="T36" s="157">
        <f t="array" aca="1" ref="T36:T44" ca="1">IF(H13=kombinace_5!BQ11,
  kombinace_5!$FA$2:$FA$9,
  IF(AND(OR(H8=kombinace_5!A36,H8=kombinace_5!A37),H13='závěsy dle výklopu'!BQ4),
    INDIRECT(VLOOKUP(AD42&amp;"_Rocca",kombinace_5!$ER$1:$ES$108,2,0)),
    IF($AU$9=2,
      INDIRECT(VLOOKUP(AD42,kombinace_5!$ER$1:$ES$108,2,0)),
      IF($AU$9=3,
        INDIRECT(VLOOKUP($T$47,kombinace_5!$AA$1:$AB$100,2,0)),
      $Y$48)
    )
  )
)</f>
        <v>0</v>
      </c>
      <c r="AF36" s="157" t="e">
        <f>HLOOKUP($AD$44,'závěsy dle výklopu'!$CG$4:$EZ$10,2,0)</f>
        <v>#N/A</v>
      </c>
      <c r="AJ36" s="157">
        <f t="array" ref="AJ36:AJ40">IF(AM19&lt;2100,kombinace_5!BY8:BY12,kombinace_5!BY8:BY12)</f>
        <v>2</v>
      </c>
      <c r="AW36" s="248"/>
      <c r="AX36" s="248"/>
      <c r="AY36" s="248"/>
    </row>
    <row r="37" spans="1:58" s="157" customFormat="1" ht="15" hidden="1" customHeight="1">
      <c r="A37" s="140"/>
      <c r="B37" s="157" t="str">
        <v>BRW bialy matowy RAL 9003 - maksymalna zalecana długość profilu 2500 mm</v>
      </c>
      <c r="P37" s="157" t="e">
        <v>#N/A</v>
      </c>
      <c r="T37" s="157">
        <f ca="1"/>
        <v>0</v>
      </c>
      <c r="W37" s="157" t="str" cm="1">
        <f t="array" ref="W37">IF(Hlavní!$V$39=3,"",'Translate&amp;Prices&amp;Logo'!B558:B559)</f>
        <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bialy połysk RAL 9003 - maksymalna zalecana długość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szczotkowany - maksymalna zalecana długość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Czarny matowy - maksymalna zalecana długość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czarna szczotka - maksymalna zalecana długość profilu 2500 mm</v>
      </c>
      <c r="L41" s="157" t="str">
        <v xml:space="preserve">Kesseböhmer </v>
      </c>
      <c r="T41" s="157">
        <f ca="1"/>
        <v>0</v>
      </c>
      <c r="U41" s="157">
        <f>IF(Hlavní!$V$39=3,1,2)</f>
        <v>1</v>
      </c>
      <c r="AE41" s="157">
        <f>AF41</f>
        <v>0</v>
      </c>
      <c r="AH41" s="274"/>
      <c r="AI41" s="275" t="s">
        <v>3460</v>
      </c>
      <c r="AJ41" s="275" t="s">
        <v>3461</v>
      </c>
      <c r="AS41" s="157" t="s">
        <v>1198</v>
      </c>
      <c r="AW41" s="248"/>
      <c r="AX41" s="248"/>
      <c r="AY41" s="248"/>
    </row>
    <row r="42" spans="1:58" s="157" customFormat="1" ht="18.600000000000001" hidden="1" customHeight="1">
      <c r="A42" s="140"/>
      <c r="B42" s="157" t="str">
        <v>BRW INOX ACIER gratta - maksymalna zalecana długość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antracyt RAL 7021 - maksymalna zalecana długość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5!FC2=TRUE,500,AJ43))),"")</f>
        <v/>
      </c>
      <c r="AJ43" s="277" t="str">
        <f>IFERROR((IF(kombinace_5!FC2=TRUE,1000,VLOOKUP(H8,'Translate&amp;Prices&amp;Logo'!B6:U84,20,0))),"")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maksymalna zalecana długość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maksymalna zalecana długość profilu 2500 mm</v>
      </c>
      <c r="M45" s="157" t="s">
        <v>2496</v>
      </c>
      <c r="N45" s="157" t="s">
        <v>1039</v>
      </c>
      <c r="AS45" s="133"/>
      <c r="AW45" s="248"/>
      <c r="AX45" s="248"/>
      <c r="AY45" s="248"/>
    </row>
    <row r="46" spans="1:58" s="157" customFormat="1" ht="14.85" hidden="1" customHeight="1">
      <c r="A46" s="140"/>
      <c r="B46" s="157" t="str">
        <v>BRW brąz - maksymalna zalecana długość profilu 2500 mm</v>
      </c>
      <c r="M46" s="157" t="s">
        <v>4254</v>
      </c>
    </row>
    <row r="47" spans="1:58" s="157" customFormat="1" ht="14.85" hidden="1" customHeight="1">
      <c r="A47" s="140"/>
      <c r="B47" s="157" t="str">
        <v>BRW INOX LIJA - maksymalna zalecana długość profilu 2500 mm</v>
      </c>
      <c r="M47" s="157" t="s">
        <v>4255</v>
      </c>
      <c r="T47" s="157" t="str">
        <f>CONCATENATE(H13,"_",VLOOKUP(kombinace_5!H1,kombinace_5!$J$14:$K$15,2,0))</f>
        <v>_2</v>
      </c>
      <c r="AD47" s="157" t="s">
        <v>4253</v>
      </c>
      <c r="AI47" s="112"/>
      <c r="AJ47" s="270"/>
      <c r="AN47" s="581"/>
      <c r="AO47" s="581"/>
      <c r="AP47" s="581"/>
      <c r="AQ47" s="581"/>
    </row>
    <row r="48" spans="1:58" s="157" customFormat="1" ht="14.85" hidden="1" customHeight="1">
      <c r="A48" s="140"/>
      <c r="B48" s="157" t="str">
        <v>BRW kaszmirowy - maksymalna zalecana długość profilu 2500 mm</v>
      </c>
      <c r="T48" s="157" t="e">
        <f>VLOOKUP(AD42,kombinace_5!ER1:ES120,2,0)</f>
        <v>#N/A</v>
      </c>
      <c r="AS48"/>
      <c r="AT48"/>
    </row>
    <row r="49" spans="1:46" s="157" customFormat="1" ht="14.85" hidden="1" customHeight="1">
      <c r="A49" s="140"/>
      <c r="B49" s="157" t="str">
        <v>BRW złota- maksymalna zalecana długość profilu 2500 mm</v>
      </c>
      <c r="AS49"/>
      <c r="AT49"/>
    </row>
    <row r="50" spans="1:46" s="157" customFormat="1" ht="14.85" hidden="1" customHeight="1">
      <c r="A50" s="140"/>
      <c r="B50" s="157" t="str">
        <v>BRW złota szczotkowany - maksymalna zalecana zalecana długość profilu 2500 mm</v>
      </c>
      <c r="AS50"/>
      <c r="AT50"/>
    </row>
    <row r="51" spans="1:46" s="157" customFormat="1" ht="14.85" hidden="1" customHeight="1">
      <c r="A51" s="140"/>
      <c r="B51" s="157" t="str">
        <v>Corleone (elox.)- maksymalna zalecana długość profilu 1500 mm</v>
      </c>
      <c r="AS51"/>
      <c r="AT51"/>
    </row>
    <row r="52" spans="1:46" s="157" customFormat="1" ht="14.85" hidden="1" customHeight="1">
      <c r="A52" s="140"/>
      <c r="B52" s="157" t="str">
        <v>Corleone czarny matowy - maksymalna zalecana długość profilu 1500 mm</v>
      </c>
      <c r="AS52"/>
      <c r="AT52"/>
    </row>
    <row r="53" spans="1:46" s="157" customFormat="1" ht="14.85" hidden="1" customHeight="1">
      <c r="A53" s="140"/>
      <c r="B53" s="157" t="str">
        <v>ASTI  czarne  - maksymalna zalecana długość profilu 2150</v>
      </c>
      <c r="AS53"/>
      <c r="AT53"/>
    </row>
    <row r="54" spans="1:46" s="157" customFormat="1" ht="14.85" hidden="1" customHeight="1">
      <c r="A54" s="140"/>
      <c r="B54" s="157" t="str">
        <v>ASTI  antracyt mat RAL 7021 mat lakier - maksymalna zalecana długość profilu 2500 mm</v>
      </c>
      <c r="K54" s="157" t="str">
        <f t="array" ref="K54:K58">IF(OR($H$15=kombinace_5!AB40,$H$15=kombinace_5!AB7,$H$15=kombinace_5!AB15,$H$15=kombinace_5!AB20,$H$15=kombinace_5!AB21,$H$15=kombinace_5!AB22),'Translate&amp;Prices&amp;Logo'!$B$231:$B$233,IF($H$15=kombinace_5!AB41,'Translate&amp;Prices&amp;Logo'!$B$231:$B$233,'Translate&amp;Prices&amp;Logo'!$B$235:$B$239))</f>
        <v>Wąska ALU ramka</v>
      </c>
      <c r="T54" s="157" t="str">
        <f t="array" ref="T54:T56">kombinace_5!$EN$3:$EN$5</f>
        <v>Bez modyfikacji</v>
      </c>
      <c r="U54" s="157">
        <v>1</v>
      </c>
      <c r="X54" s="157" t="str">
        <f t="array" ref="X54:X56">kombinace_5!$X$3:$X$5</f>
        <v>transparentna</v>
      </c>
      <c r="AD54" s="157" t="e" cm="1">
        <f t="array" aca="1" ref="AD54" ca="1">IF(kombinace_5!FC2=FALSE,
INDIRECT(kombinace_5!S1),
IF(kombinace_5!FC2=TRUE,INDIRECT(VLOOKUP(Ram_5!H8,'závěsy dle výklopu'!A81:B90,2,0)),0))</f>
        <v>#N/A</v>
      </c>
      <c r="AS54"/>
      <c r="AT54"/>
    </row>
    <row r="55" spans="1:46" s="157" customFormat="1" ht="14.85" hidden="1" customHeight="1">
      <c r="A55" s="140"/>
      <c r="B55" s="157" t="str">
        <v>Imola (elox.) - maksymalna zalecana długość profilu 2500 mm</v>
      </c>
      <c r="K55" s="157" t="str">
        <v>Szeroka ALU ramka</v>
      </c>
      <c r="T55" s="157" t="str">
        <v>Hartowane (termin dostawy 4 tygodnie)</v>
      </c>
      <c r="U55" s="157">
        <v>2</v>
      </c>
      <c r="X55" s="157" t="str">
        <v>Biała</v>
      </c>
      <c r="AS55"/>
      <c r="AT55"/>
    </row>
    <row r="56" spans="1:46" s="157" customFormat="1" ht="14.85" hidden="1" customHeight="1">
      <c r="A56" s="140"/>
      <c r="B56" s="157" t="str">
        <v>Imola Czarny matowy - maksymalna zalecana długość profilu 2500 mm</v>
      </c>
      <c r="K56" s="157" t="str">
        <v>MDF grubość 16mm</v>
      </c>
      <c r="T56" s="157" t="str">
        <v>Folia</v>
      </c>
      <c r="U56" s="157">
        <v>3</v>
      </c>
      <c r="X56" s="157" t="str">
        <v>czarna</v>
      </c>
    </row>
    <row r="57" spans="1:46" s="157" customFormat="1" ht="14.85" hidden="1" customHeight="1">
      <c r="A57" s="140"/>
      <c r="B57" s="157" t="str">
        <v>Imola bialy matowy RAL 9003 - maksymalna zalecana długość profilu 2500 mm</v>
      </c>
      <c r="K57" s="157" t="str">
        <v>MDF grubość 18mm</v>
      </c>
    </row>
    <row r="58" spans="1:46" s="157" customFormat="1" ht="14.85" hidden="1" customHeight="1">
      <c r="A58" s="140"/>
      <c r="B58" s="157" t="str">
        <v>Imola złota - maksymalna zalecana zalecana długość profilu 2150 mm</v>
      </c>
      <c r="K58" s="157" t="str">
        <v>Płyta melaminowana grubość 18mm</v>
      </c>
    </row>
    <row r="59" spans="1:46" s="157" customFormat="1" ht="14.85" hidden="1" customHeight="1">
      <c r="A59" s="140"/>
      <c r="B59" s="157" t="str">
        <v>Modena (elox.) - maksymalna zalecana długość profilu 2500 mm</v>
      </c>
      <c r="T59" s="157">
        <f>IFERROR(VLOOKUP($H$21,$T$54:$U$56,2,0),0)</f>
        <v>0</v>
      </c>
    </row>
    <row r="60" spans="1:46" s="157" customFormat="1" ht="14.85" hidden="1" customHeight="1">
      <c r="A60" s="140"/>
      <c r="B60" s="157" t="str">
        <v>Modena Czarny matowy - maksymalna zalecana długość profilu 2500 mm</v>
      </c>
      <c r="K60" s="157" t="b">
        <f>K56=K61</f>
        <v>0</v>
      </c>
    </row>
    <row r="61" spans="1:46" s="157" customFormat="1" ht="14.85" hidden="1" customHeight="1">
      <c r="A61" s="140"/>
      <c r="B61" s="157" t="str">
        <v>Modena czarna szczotka - maksymalna zalecana długość profilu 2500 mm</v>
      </c>
      <c r="H61" s="157" t="str">
        <f>'Translate&amp;Prices&amp;Logo'!$B$188</f>
        <v>Dolne drzwi</v>
      </c>
      <c r="K61" s="157" t="str">
        <f>'Translate&amp;Prices&amp;Logo'!$B$233</f>
        <v>2 sztuki (obydwie strony)</v>
      </c>
    </row>
    <row r="62" spans="1:46" s="157" customFormat="1" ht="14.85" hidden="1" customHeight="1">
      <c r="A62" s="140"/>
      <c r="B62" s="157" t="str">
        <v>Modena INOX LIJA - maksymalna zalecana długość profilu 2500 mm</v>
      </c>
    </row>
    <row r="63" spans="1:46" s="157" customFormat="1" ht="14.85" hidden="1" customHeight="1">
      <c r="A63" s="140"/>
      <c r="B63" s="157" t="str">
        <v>Modena brąz - maksymalna zalecana długość profilu 2500 mm</v>
      </c>
    </row>
    <row r="64" spans="1:46" s="157" customFormat="1" ht="14.85" hidden="1" customHeight="1">
      <c r="A64" s="140"/>
      <c r="B64" s="157" t="str">
        <v>Pisa (elox.) - maksymalna zalecana długość profilu 2500 mm</v>
      </c>
    </row>
    <row r="65" spans="1:15" s="157" customFormat="1" ht="14.85" hidden="1" customHeight="1">
      <c r="A65" s="140"/>
      <c r="B65" s="157" t="str">
        <v>Pisa biały matowy RAL 9003 - maksymalna zalecana zalecana długość profilu 2500 mm</v>
      </c>
      <c r="H65" s="33" t="str">
        <f>'rozpad závěsů bez prázdn. řádků'!$K$1</f>
        <v>krzyżakowy, wkręt</v>
      </c>
      <c r="I65" s="159">
        <v>6</v>
      </c>
      <c r="J65" s="32" t="e">
        <f>VLOOKUP($H$15,'rozpad závěsů bez prázdn. řádků'!$G$2:$X$66,I65,0)</f>
        <v>#N/A</v>
      </c>
      <c r="O65" s="157" t="str" cm="1">
        <f t="array" ref="O65:O66">IF($H$15=kombinace_5!$AB$40,_strong_vzpera_horni,IF($H$15=kombinace_5!$AB$41,_stronglift_klopna,IF($H$12='závěsy dle výklopu'!$BQ$2,$J$65:$J$71,'Translate&amp;Prices&amp;Logo'!$B$187:$B$188)))</f>
        <v>Górne drzwi</v>
      </c>
    </row>
    <row r="66" spans="1:15" s="157" customFormat="1" ht="14.85" hidden="1" customHeight="1">
      <c r="A66" s="140"/>
      <c r="B66" s="157" t="str">
        <v>Pisa biały połysk RAL 9003 - maksymalna zalecana zalecana długość profilu 2500 mm</v>
      </c>
      <c r="H66" s="33" t="str">
        <f>'rozpad závěsů bez prázdn. řádků'!$M$1</f>
        <v>na wkręt (z mimośrodem)</v>
      </c>
      <c r="I66" s="159">
        <v>8</v>
      </c>
      <c r="J66" s="32" t="e">
        <f>VLOOKUP($H$15,'rozpad závěsů bez prázdn. řádků'!$G$2:$X$66,I66,0)</f>
        <v>#N/A</v>
      </c>
      <c r="O66" s="157" t="str">
        <v>Dolne drzwi</v>
      </c>
    </row>
    <row r="67" spans="1:15" s="157" customFormat="1" ht="14.85" hidden="1" customHeight="1">
      <c r="A67" s="140"/>
      <c r="B67" s="157" t="str">
        <v>Pisa Czarny matowy - maksymalna zalecana długość profilu 2500 mm</v>
      </c>
      <c r="H67" s="33" t="str">
        <f>'rozpad závěsů bez prázdn. řádků'!$O$1</f>
        <v>krzyżakowy eurowkręt</v>
      </c>
      <c r="I67" s="159">
        <v>10</v>
      </c>
      <c r="J67" s="32" t="e">
        <f>VLOOKUP($H$15,'rozpad závěsů bez prázdn. řádků'!$G$2:$X$66,I67,0)</f>
        <v>#N/A</v>
      </c>
    </row>
    <row r="68" spans="1:15" s="157" customFormat="1" ht="14.85" hidden="1" customHeight="1">
      <c r="A68" s="140"/>
      <c r="B68" s="157" t="str">
        <v>Pisa złota - maksymalna zalecana długość profilu 2150 mm</v>
      </c>
      <c r="H68" s="33" t="str">
        <f>'rozpad závěsů bez prázdn. řádků'!$Q$1</f>
        <v>krzyżakowy expando</v>
      </c>
      <c r="I68" s="159">
        <v>12</v>
      </c>
      <c r="J68" s="32" t="e">
        <f>VLOOKUP($H$15,'rozpad závěsů bez prázdn. řádků'!$G$2:$X$66,I68,0)</f>
        <v>#N/A</v>
      </c>
    </row>
    <row r="69" spans="1:15" s="157" customFormat="1" ht="14.85" hidden="1" customHeight="1">
      <c r="A69" s="140"/>
      <c r="B69" s="157" t="str">
        <v>Rimini elox naturalna - maksymalna długość profilu 1100 mm</v>
      </c>
      <c r="H69" s="33" t="str">
        <f>'rozpad závěsů bez prázdn. řádků'!$S$1</f>
        <v>prosty wkręt</v>
      </c>
      <c r="I69" s="159">
        <v>14</v>
      </c>
      <c r="J69" s="32" t="e">
        <f>VLOOKUP($H$15,'rozpad závěsů bez prázdn. řádků'!$G$2:$X$66,I69,0)</f>
        <v>#N/A</v>
      </c>
    </row>
    <row r="70" spans="1:15" s="157" customFormat="1" ht="14.85" hidden="1" customHeight="1">
      <c r="A70" s="140"/>
      <c r="B70" s="157" t="str">
        <v>Rimini czarny mat - maksymalna długość profilu 1100 mm</v>
      </c>
      <c r="H70" s="33" t="str">
        <f>'rozpad závěsů bez prázdn. řádků'!$U$1</f>
        <v>prosty eurowkręt</v>
      </c>
      <c r="I70" s="159">
        <v>16</v>
      </c>
      <c r="J70" s="32" t="e">
        <f>VLOOKUP($H$15,'rozpad závěsů bez prázdn. řádků'!$G$2:$X$66,I70,0)</f>
        <v>#N/A</v>
      </c>
    </row>
    <row r="71" spans="1:15" s="157" customFormat="1" ht="14.85" hidden="1" customHeight="1">
      <c r="A71" s="140"/>
      <c r="B71" s="157" t="str">
        <v>Rimini champagne - maksymalna długość profilu 1100 mm</v>
      </c>
      <c r="H71" s="33" t="str">
        <f>'rozpad závěsů bez prázdn. řádků'!$W$1</f>
        <v>prosty expando</v>
      </c>
      <c r="I71" s="159">
        <v>18</v>
      </c>
      <c r="J71" s="32" t="e">
        <f>VLOOKUP($H$15,'rozpad závěsů bez prázdn. řádků'!$G$2:$X$66,I71,0)</f>
        <v>#N/A</v>
      </c>
    </row>
    <row r="72" spans="1:15" s="157" customFormat="1" ht="14.85" hidden="1" customHeight="1">
      <c r="A72" s="140"/>
      <c r="B72" s="157" t="str">
        <v>Rimini zlota - maksymalna długość profilu 1100 mm</v>
      </c>
    </row>
    <row r="73" spans="1:15" s="157" customFormat="1" ht="14.85" hidden="1" customHeight="1">
      <c r="A73" s="140"/>
      <c r="B73" s="157" t="str">
        <v>Rimini zlota szczotkowana - maksymalna długość profilu 1100 mm</v>
      </c>
    </row>
    <row r="74" spans="1:15" s="157" customFormat="1" ht="14.85" hidden="1" customHeight="1">
      <c r="A74" s="140"/>
      <c r="B74" s="157" t="str">
        <v>Rocca (elox.) - maksymalna zalecana zalecana długość profilu 2150 mm</v>
      </c>
    </row>
    <row r="75" spans="1:15" s="157" customFormat="1" ht="14.85" hidden="1" customHeight="1">
      <c r="A75" s="140"/>
      <c r="B75" s="157" t="str">
        <v>Rocca czarny matowy - maksymalna zalecana zalecana długość profilu 2150 mm</v>
      </c>
    </row>
    <row r="76" spans="1:15" s="157" customFormat="1" ht="14.85" hidden="1" customHeight="1">
      <c r="A76" s="140"/>
      <c r="B76" s="157" t="str">
        <v>Treviso czarny matowy - maksymalna zalecana długość profilu 2750 mm</v>
      </c>
    </row>
    <row r="77" spans="1:15" s="157" customFormat="1" ht="14.85" hidden="1" customHeight="1">
      <c r="A77" s="140"/>
      <c r="B77" s="157" t="str">
        <v>Verona (elox.) - maksymalna zalecana zalecana długość profilu 2500 mm</v>
      </c>
    </row>
    <row r="78" spans="1:15" s="157" customFormat="1" ht="14.85" hidden="1" customHeight="1">
      <c r="A78" s="140"/>
      <c r="B78" s="157" t="str">
        <v>Verona szczotkowany - maksymalna zalecana zalecana długość profilu 2500 mm</v>
      </c>
    </row>
    <row r="79" spans="1:15" s="157" customFormat="1" ht="14.85" hidden="1" customHeight="1">
      <c r="A79" s="140"/>
      <c r="B79" s="157" t="str">
        <v>Verona czarny matowy - maksymalna zalecana zalecana długość profilu 2500 mm</v>
      </c>
    </row>
    <row r="80" spans="1:15" s="157" customFormat="1" ht="14.85" hidden="1" customHeight="1">
      <c r="A80" s="140"/>
      <c r="B80" s="157" t="str">
        <v>Verona czarny połysk - maksymalna zalecana zalecana długość profilu 2500 mm</v>
      </c>
    </row>
    <row r="81" spans="1:38" s="157" customFormat="1" ht="14.85" hidden="1" customHeight="1">
      <c r="A81" s="140"/>
      <c r="B81" s="157" t="str">
        <v>Verona braz - maksymalna zalecana zalecana długość profilu 2500 mm</v>
      </c>
    </row>
    <row r="82" spans="1:38" s="157" customFormat="1" ht="14.85" hidden="1" customHeight="1">
      <c r="A82" s="140"/>
      <c r="B82" s="157" t="str">
        <v>Verona szampański - maksymalna zalecana zalecana długość profilu 2500 mm</v>
      </c>
      <c r="P82" s="157" t="str" cm="1">
        <f t="array" ref="P82:P85">IF(OR(H8=kombinace_5!F18,H8=kombinace_5!F19,H8=kombinace_5!A60,H8=kombinace_5!A61,H8=kombinace_5!A62,H8=kombinace_5!A63),_2_strany,IF(H15=kombinace_5!AB8,_ramena_HL,_4_strany))</f>
        <v>W górę</v>
      </c>
    </row>
    <row r="83" spans="1:38" ht="14.85" hidden="1" customHeight="1">
      <c r="B83" s="138" t="str">
        <v>Verona Inox szczotkowany (Inox Lija)- maksymalna zalecana zalecana długość profilu 2500 mm</v>
      </c>
      <c r="C83" s="140"/>
      <c r="D83" s="140"/>
      <c r="E83" s="140"/>
      <c r="F83" s="140"/>
      <c r="G83" s="140"/>
      <c r="H83" s="140"/>
      <c r="I83" s="140"/>
      <c r="J83" s="140"/>
      <c r="K83" s="140"/>
      <c r="L83" s="140"/>
      <c r="M83" s="140"/>
      <c r="N83" s="140"/>
      <c r="O83" s="138"/>
      <c r="P83" s="140" t="str">
        <v>W dół</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Acier Gratta - maksymalna zalecana zalecana długość profilu 2500 mm</v>
      </c>
      <c r="C84" s="140"/>
      <c r="D84" s="140"/>
      <c r="E84" s="140"/>
      <c r="F84" s="140"/>
      <c r="G84" s="140"/>
      <c r="H84" s="140"/>
      <c r="I84" s="140"/>
      <c r="J84" s="140"/>
      <c r="K84" s="140"/>
      <c r="L84" s="140"/>
      <c r="M84" s="140"/>
      <c r="N84" s="140"/>
      <c r="O84" s="138"/>
      <c r="P84" s="140" t="str">
        <v>W prawo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maksymalna zalecana zalecana długość profilu 2150 mm</v>
      </c>
      <c r="C85" s="140"/>
      <c r="D85" s="140"/>
      <c r="E85" s="140"/>
      <c r="F85" s="140"/>
      <c r="G85" s="140"/>
      <c r="H85" s="140"/>
      <c r="I85" s="140"/>
      <c r="J85" s="140"/>
      <c r="K85" s="140"/>
      <c r="L85" s="140"/>
      <c r="M85" s="140"/>
      <c r="N85" s="140"/>
      <c r="O85" s="140"/>
      <c r="P85" s="140" t="str">
        <v>W lewo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kaszmirowy - maksymalna zalecana długość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złota - maksymalna zalecana długość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złota szczotkowany - maksymalna zalecana zalecana długość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maksymalna zalecana zalecana długość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czarny matowy - maksymalna zalecana zalecana długość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LIJA - maksymalna zalecana zalecana długość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biały matowy RAL 9003 - maksymalna zalecana zalecana długość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biały połysk RAL 9003 - maksymalna zalecana zalecana długość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złota - maksymalna zalecana zalecana długość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złota szczotkowany - maksymalna zalecana zalecana długość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(lewa i prawa) + Varna elox (góra i dół)</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czarny (lewa i prawa) + Varna czarny (góra i dół)</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czarna matowa -  maksymalna zalecana długość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maksymalna zalecana długość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czarna matowa - maksymalna zalecana długość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maksymalna zalecana długość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PFmxaCMvEaZ/vFPm30fhiTIaoQ0UudaGdHoX7ukyiFW/CewLbMNGakq/1sWUCVw8iFzQZP8pclanmmgKvVvcJA==" saltValue="sGohY5avQimm+LNK+Xu8sw==" spinCount="100000" sheet="1" objects="1" scenarios="1"/>
  <protectedRanges>
    <protectedRange sqref="G7 I7:R7" name="Oblast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256" priority="24" operator="equal">
      <formula>$A$2</formula>
    </cfRule>
  </conditionalFormatting>
  <conditionalFormatting sqref="B16:I16">
    <cfRule type="expression" dxfId="255" priority="45">
      <formula>$AU$19=0</formula>
    </cfRule>
  </conditionalFormatting>
  <conditionalFormatting sqref="B9:Q9">
    <cfRule type="expression" dxfId="254" priority="30">
      <formula>$B$9=0</formula>
    </cfRule>
  </conditionalFormatting>
  <conditionalFormatting sqref="B11:Q11">
    <cfRule type="expression" dxfId="253" priority="44">
      <formula>$AU$10=0</formula>
    </cfRule>
  </conditionalFormatting>
  <conditionalFormatting sqref="B14:Q14">
    <cfRule type="expression" dxfId="252" priority="29">
      <formula>$B$14=0</formula>
    </cfRule>
  </conditionalFormatting>
  <conditionalFormatting sqref="B17:Q17">
    <cfRule type="expression" dxfId="251" priority="28">
      <formula>$B$17=0</formula>
    </cfRule>
  </conditionalFormatting>
  <conditionalFormatting sqref="B18:Q18">
    <cfRule type="expression" dxfId="250" priority="14" stopIfTrue="1">
      <formula>$B$18=0</formula>
    </cfRule>
    <cfRule type="expression" dxfId="249" priority="17">
      <formula>$F$16=$H$61</formula>
    </cfRule>
  </conditionalFormatting>
  <conditionalFormatting sqref="B19:Q19">
    <cfRule type="expression" dxfId="248" priority="27">
      <formula>$B$19=0</formula>
    </cfRule>
  </conditionalFormatting>
  <conditionalFormatting sqref="B20:Q20">
    <cfRule type="expression" dxfId="247" priority="26">
      <formula>$B$19=0</formula>
    </cfRule>
    <cfRule type="expression" dxfId="246" priority="25">
      <formula>$B$20=0</formula>
    </cfRule>
  </conditionalFormatting>
  <conditionalFormatting sqref="B21:Q21">
    <cfRule type="expression" dxfId="245" priority="6">
      <formula>$B$21=" "</formula>
    </cfRule>
  </conditionalFormatting>
  <conditionalFormatting sqref="B24:Q24">
    <cfRule type="expression" dxfId="244" priority="19" stopIfTrue="1">
      <formula>$T$59&lt;3</formula>
    </cfRule>
  </conditionalFormatting>
  <conditionalFormatting sqref="H23">
    <cfRule type="expression" dxfId="243" priority="31">
      <formula>$H$25&gt;0</formula>
    </cfRule>
  </conditionalFormatting>
  <conditionalFormatting sqref="H10:L11">
    <cfRule type="expression" dxfId="242" priority="23">
      <formula>$AU$10=2</formula>
    </cfRule>
  </conditionalFormatting>
  <conditionalFormatting sqref="H10:Q10">
    <cfRule type="expression" dxfId="241" priority="22">
      <formula>$AU$10=0</formula>
    </cfRule>
  </conditionalFormatting>
  <conditionalFormatting sqref="H22:Q22 B22:G23">
    <cfRule type="expression" dxfId="240" priority="20">
      <formula>$AS$33=1</formula>
    </cfRule>
  </conditionalFormatting>
  <conditionalFormatting sqref="J16:M16">
    <cfRule type="expression" dxfId="239" priority="16" stopIfTrue="1">
      <formula>$K$60=TRUE</formula>
    </cfRule>
  </conditionalFormatting>
  <conditionalFormatting sqref="J16:N16">
    <cfRule type="expression" dxfId="238" priority="18" stopIfTrue="1">
      <formula>$AV$19=0</formula>
    </cfRule>
  </conditionalFormatting>
  <conditionalFormatting sqref="M10:Q11">
    <cfRule type="expression" dxfId="237" priority="21">
      <formula>$AU$10=1</formula>
    </cfRule>
  </conditionalFormatting>
  <conditionalFormatting sqref="N16:Q16">
    <cfRule type="expression" dxfId="236" priority="15" stopIfTrue="1">
      <formula>$K$60=TRUE</formula>
    </cfRule>
  </conditionalFormatting>
  <conditionalFormatting sqref="P29:Q29">
    <cfRule type="expression" dxfId="235" priority="1">
      <formula>$U$41=2</formula>
    </cfRule>
  </conditionalFormatting>
  <conditionalFormatting sqref="AA9:AA10 AA24:AA25">
    <cfRule type="expression" dxfId="234" priority="10" stopIfTrue="1">
      <formula>$AU$17=1</formula>
    </cfRule>
  </conditionalFormatting>
  <conditionalFormatting sqref="AA16:AA17">
    <cfRule type="expression" dxfId="233" priority="5" stopIfTrue="1">
      <formula>$AU$24="1_3"</formula>
    </cfRule>
  </conditionalFormatting>
  <conditionalFormatting sqref="AB6 AA6:AA7 AA27 AA28:AB28">
    <cfRule type="expression" dxfId="232" priority="4" stopIfTrue="1">
      <formula>$AV$17=1</formula>
    </cfRule>
  </conditionalFormatting>
  <conditionalFormatting sqref="AB29:AO29">
    <cfRule type="cellIs" dxfId="231" priority="2" operator="equal">
      <formula>0</formula>
    </cfRule>
  </conditionalFormatting>
  <conditionalFormatting sqref="AC6:AD6 AM6:AN6">
    <cfRule type="expression" dxfId="230" priority="12" stopIfTrue="1">
      <formula>$AU$17=3</formula>
    </cfRule>
  </conditionalFormatting>
  <conditionalFormatting sqref="AC25:AD25 AJ26:AJ27">
    <cfRule type="expression" dxfId="229" priority="39">
      <formula>$AU$25=4</formula>
    </cfRule>
  </conditionalFormatting>
  <conditionalFormatting sqref="AC28:AD28 AM28:AN28">
    <cfRule type="expression" dxfId="228" priority="11" stopIfTrue="1">
      <formula>$AU$17=4</formula>
    </cfRule>
  </conditionalFormatting>
  <conditionalFormatting sqref="AC8:AG8">
    <cfRule type="expression" dxfId="227" priority="43">
      <formula>$AU$25=3</formula>
    </cfRule>
  </conditionalFormatting>
  <conditionalFormatting sqref="AC24:AG24">
    <cfRule type="expression" dxfId="226" priority="40">
      <formula>$AU$25=4</formula>
    </cfRule>
  </conditionalFormatting>
  <conditionalFormatting sqref="AD10:AD12 AB19:AC19">
    <cfRule type="expression" dxfId="225" priority="33">
      <formula>$AU$25=1</formula>
    </cfRule>
  </conditionalFormatting>
  <conditionalFormatting sqref="AD14:AD21">
    <cfRule type="expression" dxfId="224" priority="32">
      <formula>$AU$25=1</formula>
    </cfRule>
  </conditionalFormatting>
  <conditionalFormatting sqref="AE10:AE16">
    <cfRule type="expression" dxfId="223" priority="41">
      <formula>$AU$25=1</formula>
    </cfRule>
  </conditionalFormatting>
  <conditionalFormatting sqref="AF9:AK9">
    <cfRule type="expression" dxfId="222" priority="36">
      <formula>$AU$25=3</formula>
    </cfRule>
  </conditionalFormatting>
  <conditionalFormatting sqref="AF25:AK25">
    <cfRule type="expression" dxfId="221" priority="38">
      <formula>$AU$25=4</formula>
    </cfRule>
  </conditionalFormatting>
  <conditionalFormatting sqref="AG6:AH6">
    <cfRule type="expression" dxfId="220" priority="8" stopIfTrue="1">
      <formula>$AU$24="3_3"</formula>
    </cfRule>
  </conditionalFormatting>
  <conditionalFormatting sqref="AG28:AH28">
    <cfRule type="expression" dxfId="219" priority="7" stopIfTrue="1">
      <formula>$AU$24="4_3"</formula>
    </cfRule>
  </conditionalFormatting>
  <conditionalFormatting sqref="AJ7:AJ8 AC9:AD9">
    <cfRule type="expression" dxfId="218" priority="37">
      <formula>$AU$25=3</formula>
    </cfRule>
  </conditionalFormatting>
  <conditionalFormatting sqref="AL19:AL25">
    <cfRule type="expression" dxfId="217" priority="42">
      <formula>$AU$25=2</formula>
    </cfRule>
  </conditionalFormatting>
  <conditionalFormatting sqref="AM14:AM21">
    <cfRule type="expression" dxfId="216" priority="34">
      <formula>$AU$25=2</formula>
    </cfRule>
  </conditionalFormatting>
  <conditionalFormatting sqref="AN19:AO19 AM23:AM25">
    <cfRule type="expression" dxfId="215" priority="35">
      <formula>$AU$25=2</formula>
    </cfRule>
  </conditionalFormatting>
  <conditionalFormatting sqref="AO6 AP6:AP7 AP27 AO28:AP28">
    <cfRule type="expression" dxfId="214" priority="3" stopIfTrue="1">
      <formula>$AV$17=2</formula>
    </cfRule>
  </conditionalFormatting>
  <conditionalFormatting sqref="AP9:AP10 AP24:AP25">
    <cfRule type="expression" dxfId="213" priority="9" stopIfTrue="1">
      <formula>$AU$17=2</formula>
    </cfRule>
  </conditionalFormatting>
  <conditionalFormatting sqref="AP16:AP17">
    <cfRule type="expression" dxfId="212" priority="13" stopIfTrue="1">
      <formula>$AU$24="2_3"</formula>
    </cfRule>
  </conditionalFormatting>
  <dataValidations count="20">
    <dataValidation type="whole" allowBlank="1" showInputMessage="1" showErrorMessage="1" sqref="H11:L11" xr:uid="{C0B79514-ACD3-49F8-84CF-03E56F78F60A}">
      <formula1>1</formula1>
      <formula2>(AR14/100)-1</formula2>
    </dataValidation>
    <dataValidation type="whole" allowBlank="1" showInputMessage="1" showErrorMessage="1" sqref="M11:Q11" xr:uid="{FD11F0E6-7B73-46E1-8169-61FEABA8A056}">
      <formula1>1</formula1>
      <formula2>(AI30/100)-1</formula2>
    </dataValidation>
    <dataValidation type="whole" allowBlank="1" showInputMessage="1" showErrorMessage="1" errorTitle="Minimum 80 mm" sqref="F20:I20 N20:Q20" xr:uid="{45594404-B246-4EA0-8D88-2139B04DC45D}">
      <formula1>80</formula1>
      <formula2>1300</formula2>
    </dataValidation>
    <dataValidation type="whole" operator="greaterThanOrEqual" allowBlank="1" showInputMessage="1" showErrorMessage="1" sqref="H26:Q26" xr:uid="{F0F4E80F-D7FA-4023-932E-499B945CBCAB}">
      <formula1>1</formula1>
    </dataValidation>
    <dataValidation type="list" allowBlank="1" showInputMessage="1" showErrorMessage="1" sqref="H12:Q12" xr:uid="{A6AD8ED3-82CD-4D9B-B6D2-9D9AD31CCE74}">
      <formula1>$L$36:$M$36</formula1>
    </dataValidation>
    <dataValidation type="list" allowBlank="1" showInputMessage="1" showErrorMessage="1" sqref="H14:Q14" xr:uid="{60AD8451-81BB-43C0-A22F-3C27371D8299}">
      <formula1>$P$36:$P$38</formula1>
    </dataValidation>
    <dataValidation type="list" allowBlank="1" showInputMessage="1" showErrorMessage="1" sqref="H21:Q21" xr:uid="{5DD1C5D0-BD41-44F4-A4F4-B93A05A792D7}">
      <formula1>$T$54:$T$56</formula1>
    </dataValidation>
    <dataValidation type="list" allowBlank="1" showInputMessage="1" showErrorMessage="1" sqref="H24:Q24" xr:uid="{38DD3E91-A82C-41FA-A015-F7D0A88F3990}">
      <formula1>$X$54:$X$56</formula1>
    </dataValidation>
    <dataValidation type="list" allowBlank="1" showInputMessage="1" showErrorMessage="1" sqref="H19:Q19" xr:uid="{3DAB321F-6682-42CB-B7C3-E9961A566D7F}">
      <formula1>IF(H13="Salice",$AJ$36,($AJ$36:$AJ$40))</formula1>
    </dataValidation>
    <dataValidation type="list" allowBlank="1" showInputMessage="1" showErrorMessage="1" sqref="H18:Q18" xr:uid="{E72F1286-BBFC-4FAA-8391-EA4F9143CC50}">
      <formula1>$AF$36:$AF$41</formula1>
    </dataValidation>
    <dataValidation type="list" allowBlank="1" showInputMessage="1" showErrorMessage="1" sqref="N16:Q16" xr:uid="{997669C0-7507-4177-90C3-5E9E1ACA2C47}">
      <formula1>$K$54:$K$58</formula1>
    </dataValidation>
    <dataValidation type="list" allowBlank="1" showInputMessage="1" showErrorMessage="1" sqref="H13:Q13" xr:uid="{18574B62-38DD-4931-BDCD-D52E18D78B6C}">
      <formula1>IF(M38="Salice",$L$38,$L$38:$L$42)</formula1>
    </dataValidation>
    <dataValidation type="list" allowBlank="1" showInputMessage="1" showErrorMessage="1" sqref="H15:Q15" xr:uid="{078F96A8-C23C-4F1C-8051-21F96B932048}">
      <formula1>$T$36:$T$44</formula1>
    </dataValidation>
    <dataValidation type="whole" operator="lessThan" showInputMessage="1" showErrorMessage="1" sqref="AI30:AK30" xr:uid="{0D8AF1BA-786B-4CC3-B71F-6F0C7256D5BC}">
      <formula1>IF(AR14&lt;AI43+1,AJ43+1,AI43+1)</formula1>
    </dataValidation>
    <dataValidation type="whole" operator="lessThan" showErrorMessage="1" sqref="AR14:AR18" xr:uid="{0B39577A-2525-4F90-B866-07B92911598D}">
      <formula1>IF(AI30&lt;AI43+1,AJ43+1,AI43+1)</formula1>
    </dataValidation>
    <dataValidation type="list" allowBlank="1" showInputMessage="1" showErrorMessage="1" sqref="P29:Q29" xr:uid="{C1EB85E4-ED7B-4FD6-B5A1-536EC80BD83F}">
      <formula1>$W$37:$W$38</formula1>
    </dataValidation>
    <dataValidation type="list" allowBlank="1" showInputMessage="1" showErrorMessage="1" sqref="H25:Q25" xr:uid="{747BCC24-3CB0-451B-94A5-C53C45BE2883}">
      <formula1>$AD$54:$AD$97</formula1>
    </dataValidation>
    <dataValidation type="list" allowBlank="1" showInputMessage="1" showErrorMessage="1" sqref="H17:Q17" xr:uid="{3021D0B4-48D2-4915-B9CF-E6DF85578058}">
      <formula1>$P$82:$P$90</formula1>
    </dataValidation>
    <dataValidation type="list" allowBlank="1" showInputMessage="1" showErrorMessage="1" sqref="F16:I16" xr:uid="{FC69B65A-4DAB-4D31-B865-0567886B9A33}">
      <formula1>$O$65:$O$84</formula1>
    </dataValidation>
    <dataValidation type="list" allowBlank="1" showInputMessage="1" showErrorMessage="1" sqref="H8:Q8" xr:uid="{A664A019-737E-44D0-A4A8-267AA100350B}">
      <formula1>B36:B101</formula1>
    </dataValidation>
  </dataValidations>
  <hyperlinks>
    <hyperlink ref="AP2:AS3" location="Hlavní!A1" display="Hlavní!A1" xr:uid="{135465CD-1DAA-4D22-A8B2-56775F15CE34}"/>
    <hyperlink ref="F5:H5" location="Ram_2!A1" display="Ram_2!A1" xr:uid="{F42431E3-EC70-4F3F-815B-442F4D41392E}"/>
    <hyperlink ref="N5:P5" location="Ram_4!A1" display="Ram_4!A1" xr:uid="{05956C96-D7BA-49A0-867A-78145F07B466}"/>
    <hyperlink ref="R5:T5" location="Ram_5!A1" display="Ram_5!A1" xr:uid="{75E81E59-B0F4-4E61-85F6-17F937B4B1A4}"/>
    <hyperlink ref="V5:X5" location="Ram_6!A1" display="Ram_6!A1" xr:uid="{A2CD81C6-7C50-41CE-A340-A32876A3E6A8}"/>
    <hyperlink ref="B5:D5" location="Ram_1!A1" display="Ram_1!A1" xr:uid="{9FDD8810-9F8A-42E6-8A04-F3139C87E55B}"/>
    <hyperlink ref="AO31:AR32" location="_souhrn!A1" display="_souhrn!A1" xr:uid="{FBAEF654-BC16-447A-BF52-EE6829276EAE}"/>
    <hyperlink ref="J5:L5" location="Ram_3!A1" display="Ram_3!A1" xr:uid="{FA65FF30-99ED-442D-9C07-7DCB53BDB0C3}"/>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3829" r:id="rId3"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784473" r:id="rId4" name="Check Box 1113">
              <controlPr defaultSize="0" autoFill="0" autoLine="0" autoPict="0">
                <anchor moveWithCells="1">
                  <from>
                    <xdr:col>5</xdr:col>
                    <xdr:colOff>57150</xdr:colOff>
                    <xdr:row>6</xdr:row>
                    <xdr:rowOff>161925</xdr:rowOff>
                  </from>
                  <to>
                    <xdr:col>5</xdr:col>
                    <xdr:colOff>285750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81D35D1-8AAE-43C5-8E10-AC9F008B9D3E}">
          <x14:formula1>
            <xm:f>'závěsy dle výklopu'!$BW$2:$BW$5</xm:f>
          </x14:formula1>
          <xm:sqref>H27:Q27</xm:sqref>
        </x14:dataValidation>
        <x14:dataValidation type="list" allowBlank="1" showInputMessage="1" showErrorMessage="1" xr:uid="{9B9DA976-0508-4A81-B7BD-F471D43A6F87}">
          <x14:formula1>
            <xm:f>kombinace_1!$BY$13:$BY$15</xm:f>
          </x14:formula1>
          <xm:sqref>H9:Q9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23F9-76E1-41A9-A2FB-89D855C44CD0}">
  <sheetPr codeName="List18"/>
  <dimension ref="A1:FC758"/>
  <sheetViews>
    <sheetView topLeftCell="A16"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VLOOKUP(Ram_5!H8,kombinace_5!$A$3:$C$75,3,0)</f>
        <v>#N/A</v>
      </c>
      <c r="S1" t="e">
        <f>CONCATENATE("_",R1,V1)</f>
        <v>#N/A</v>
      </c>
      <c r="U1" s="173" t="s">
        <v>996</v>
      </c>
      <c r="V1" s="2">
        <f>IFERROR(VLOOKUP(Ram_5!H21,$EN$3:$EO$5,2,0),1)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CONCATENATE("_",Ram_5!H12,"_",Ram_5!H13)</f>
        <v>__</v>
      </c>
      <c r="BV2" t="s">
        <v>1013</v>
      </c>
      <c r="BW2" t="s">
        <v>1009</v>
      </c>
      <c r="BY2" t="s">
        <v>110</v>
      </c>
      <c r="CA2" t="s">
        <v>1032</v>
      </c>
      <c r="CD2" t="s">
        <v>1106</v>
      </c>
      <c r="CF2" t="s">
        <v>1328</v>
      </c>
      <c r="DN2" t="str">
        <f>'Translate&amp;Prices&amp;Logo'!B555</f>
        <v>Nakładany</v>
      </c>
      <c r="DP2" t="str">
        <f>'Translate&amp;Prices&amp;Logo'!$B$553</f>
        <v>Zawiasy</v>
      </c>
      <c r="DQ2">
        <v>2</v>
      </c>
      <c r="ED2" t="s">
        <v>1649</v>
      </c>
      <c r="EE2" t="s">
        <v>3183</v>
      </c>
      <c r="ER2" t="s">
        <v>2153</v>
      </c>
      <c r="ES2" t="s">
        <v>2158</v>
      </c>
      <c r="EV2">
        <v>2</v>
      </c>
      <c r="EW2" t="s">
        <v>2175</v>
      </c>
      <c r="EY2" s="206" t="str">
        <f>'Translate&amp;Prices&amp;Logo'!B166</f>
        <v>siatka alu złota - oko 10x6x1 mm</v>
      </c>
      <c r="FA2" s="34" t="str">
        <f>'Translate&amp;Prices&amp;Logo'!B646</f>
        <v>520405 SALICE AIR SOFT zawiasy niklowe o kącie otwarcia 92° kpl. 2 szt</v>
      </c>
      <c r="FC2" t="b">
        <v>0</v>
      </c>
    </row>
    <row r="3" spans="1:159">
      <c r="A3" t="str">
        <f>'Translate&amp;Prices&amp;Logo'!$B$6</f>
        <v>BRW (elox.) - maksymalna zalecana długość profilu 2500 mm</v>
      </c>
      <c r="B3">
        <v>1</v>
      </c>
      <c r="C3" t="s">
        <v>651</v>
      </c>
      <c r="D3">
        <v>1</v>
      </c>
      <c r="F3" t="s">
        <v>950</v>
      </c>
      <c r="G3" t="s">
        <v>382</v>
      </c>
      <c r="H3" t="s">
        <v>951</v>
      </c>
      <c r="I3">
        <v>1</v>
      </c>
      <c r="J3">
        <v>2</v>
      </c>
      <c r="K3" t="s">
        <v>651</v>
      </c>
      <c r="M3" t="s">
        <v>952</v>
      </c>
      <c r="N3" t="s">
        <v>554</v>
      </c>
      <c r="X3" t="str">
        <f>'Translate&amp;Prices&amp;Logo'!$B$565</f>
        <v>transparentna</v>
      </c>
      <c r="Y3">
        <v>1</v>
      </c>
      <c r="AA3" t="s">
        <v>2079</v>
      </c>
      <c r="AB3" t="s">
        <v>1009</v>
      </c>
      <c r="AF3" t="s">
        <v>105</v>
      </c>
      <c r="AG3" t="s">
        <v>2373</v>
      </c>
      <c r="AY3" t="s">
        <v>984</v>
      </c>
      <c r="BK3" t="s">
        <v>105</v>
      </c>
      <c r="BU3" t="e">
        <f>VLOOKUP(BU2,BV2:BW9,2,0)</f>
        <v>#N/A</v>
      </c>
      <c r="BV3" t="s">
        <v>1015</v>
      </c>
      <c r="BW3" t="s">
        <v>1012</v>
      </c>
      <c r="BY3" t="str">
        <f>'Translate&amp;Prices&amp;Logo'!$B$232</f>
        <v>W lewo</v>
      </c>
      <c r="BZ3">
        <v>1</v>
      </c>
      <c r="CA3">
        <v>32</v>
      </c>
      <c r="CD3" t="s">
        <v>2370</v>
      </c>
      <c r="CE3">
        <v>1</v>
      </c>
      <c r="CF3">
        <v>1</v>
      </c>
      <c r="DN3" t="e">
        <f>IF(OR(Ram_5!$H$13&amp;Ram_5!$AU$7=Ram_5!$M$44,
Ram_5!$H$13&amp;Ram_5!$AU$7=Ram_5!$M$45,
Ram_5!$H$13&amp;Ram_5!$AU$7=Ram_5!$M$46,
Ram_5!$H$13&amp;Ram_5!$AU$7=Ram_5!$M$47),
'Translate&amp;Prices&amp;Logo'!B659,'Translate&amp;Prices&amp;Logo'!B556)</f>
        <v>#N/A</v>
      </c>
      <c r="DP3" t="str">
        <f>'Translate&amp;Prices&amp;Logo'!$B$554</f>
        <v>Podnośniki</v>
      </c>
      <c r="DQ3">
        <v>3</v>
      </c>
      <c r="ED3" t="s">
        <v>1650</v>
      </c>
      <c r="EE3" t="s">
        <v>3186</v>
      </c>
      <c r="EJ3">
        <v>1</v>
      </c>
      <c r="EK3" t="s">
        <v>113</v>
      </c>
      <c r="EN3" t="str">
        <f>'Translate&amp;Prices&amp;Logo'!B640</f>
        <v>Bez modyfikacji</v>
      </c>
      <c r="EO3">
        <v>1</v>
      </c>
      <c r="ER3" t="s">
        <v>2151</v>
      </c>
      <c r="ES3" t="s">
        <v>2159</v>
      </c>
      <c r="EV3">
        <v>3</v>
      </c>
      <c r="EW3" t="s">
        <v>2176</v>
      </c>
      <c r="EY3" s="206" t="str">
        <f>'Translate&amp;Prices&amp;Logo'!B167</f>
        <v>siatka stal czarny mat RAL 9005– oko 8x4x1 mm</v>
      </c>
      <c r="FA3" s="34" t="str">
        <f>'Translate&amp;Prices&amp;Logo'!B647</f>
        <v>520406 SALICE AIR PUSH TO OPEN zawiasy niklowe z zestawem adapterów 2 szt</v>
      </c>
    </row>
    <row r="4" spans="1:159">
      <c r="A4" t="str">
        <f>'Translate&amp;Prices&amp;Logo'!$B$8</f>
        <v>BRW bialy matowy RAL 9003 - maksymalna zalecana długość profilu 2500 mm</v>
      </c>
      <c r="B4">
        <v>1</v>
      </c>
      <c r="C4" t="s">
        <v>651</v>
      </c>
      <c r="D4">
        <v>0</v>
      </c>
      <c r="G4" t="s">
        <v>951</v>
      </c>
      <c r="H4" t="s">
        <v>382</v>
      </c>
      <c r="I4">
        <v>0</v>
      </c>
      <c r="J4">
        <v>2</v>
      </c>
      <c r="K4" t="s">
        <v>651</v>
      </c>
      <c r="M4" t="s">
        <v>955</v>
      </c>
      <c r="N4" t="s">
        <v>856</v>
      </c>
      <c r="X4" t="str">
        <f>'Translate&amp;Prices&amp;Logo'!$B$566</f>
        <v>Biała</v>
      </c>
      <c r="Y4">
        <v>2</v>
      </c>
      <c r="AA4" t="s">
        <v>954</v>
      </c>
      <c r="AB4" t="s">
        <v>2370</v>
      </c>
      <c r="AC4">
        <v>1</v>
      </c>
      <c r="AD4">
        <v>1</v>
      </c>
      <c r="AF4" t="s">
        <v>106</v>
      </c>
      <c r="AG4" t="s">
        <v>2373</v>
      </c>
      <c r="AY4" t="s">
        <v>984</v>
      </c>
      <c r="AZ4" t="s">
        <v>1017</v>
      </c>
      <c r="BK4" t="s">
        <v>106</v>
      </c>
      <c r="BV4" t="s">
        <v>1016</v>
      </c>
      <c r="BW4" t="s">
        <v>1011</v>
      </c>
      <c r="BY4" t="str">
        <f>'Translate&amp;Prices&amp;Logo'!$B$231</f>
        <v>W prawo</v>
      </c>
      <c r="BZ4">
        <v>2</v>
      </c>
      <c r="CA4">
        <v>64</v>
      </c>
      <c r="CD4" t="s">
        <v>2150</v>
      </c>
      <c r="CE4">
        <v>1</v>
      </c>
      <c r="CF4">
        <v>0</v>
      </c>
      <c r="DN4" t="e">
        <f>IF(OR(Ram_5!$H$13&amp;Ram_5!$AU$7=Ram_5!$M$44,
Ram_5!$H$13&amp;Ram_5!$AU$7=Ram_5!$M$45,
Ram_5!$H$13&amp;Ram_5!$AU$7=Ram_5!$M$46,
Ram_5!$H$13&amp;Ram_5!$AU$7=Ram_5!$M$47),
'Translate&amp;Prices&amp;Logo'!B659,'Translate&amp;Prices&amp;Logo'!B557)</f>
        <v>#N/A</v>
      </c>
      <c r="ED4" t="s">
        <v>1651</v>
      </c>
      <c r="EE4" t="s">
        <v>3188</v>
      </c>
      <c r="EJ4">
        <v>2</v>
      </c>
      <c r="EK4" t="s">
        <v>114</v>
      </c>
      <c r="EN4" t="str">
        <f>'Translate&amp;Prices&amp;Logo'!B641</f>
        <v>Hartowane (termin dostawy 4 tygodnie)</v>
      </c>
      <c r="EO4">
        <v>2</v>
      </c>
      <c r="ER4" t="s">
        <v>2445</v>
      </c>
      <c r="ES4" t="s">
        <v>2446</v>
      </c>
      <c r="EV4">
        <v>4</v>
      </c>
      <c r="EW4" t="s">
        <v>2177</v>
      </c>
      <c r="EY4" s="206" t="str">
        <f>'Translate&amp;Prices&amp;Logo'!B168</f>
        <v>siatka stalowa biała - oko 8x4x1 mm</v>
      </c>
      <c r="FA4" s="34" t="str">
        <f>'Translate&amp;Prices&amp;Logo'!B648</f>
        <v>520407 SALICE AIR PUSH TO OPEN zawiasy niklowe z zestawem adapterów 2 szt</v>
      </c>
    </row>
    <row r="5" spans="1:159">
      <c r="A5" t="str">
        <f>'Translate&amp;Prices&amp;Logo'!$B$9</f>
        <v>BRW bialy połysk RAL 9003 - maksymalna zalecana długość profilu 2500 mm</v>
      </c>
      <c r="B5">
        <v>1</v>
      </c>
      <c r="C5" t="s">
        <v>651</v>
      </c>
      <c r="D5">
        <v>0</v>
      </c>
      <c r="F5" t="s">
        <v>957</v>
      </c>
      <c r="G5" t="s">
        <v>381</v>
      </c>
      <c r="H5" t="s">
        <v>951</v>
      </c>
      <c r="I5">
        <v>1</v>
      </c>
      <c r="J5">
        <v>2</v>
      </c>
      <c r="K5" t="s">
        <v>651</v>
      </c>
      <c r="M5" t="s">
        <v>958</v>
      </c>
      <c r="N5" t="s">
        <v>556</v>
      </c>
      <c r="X5" t="str">
        <f>'Translate&amp;Prices&amp;Logo'!$B$567</f>
        <v>czarna</v>
      </c>
      <c r="Y5">
        <v>3</v>
      </c>
      <c r="AA5" t="s">
        <v>954</v>
      </c>
      <c r="AB5" t="s">
        <v>2374</v>
      </c>
      <c r="AC5">
        <v>0</v>
      </c>
      <c r="AD5">
        <v>0</v>
      </c>
      <c r="AF5" t="s">
        <v>105</v>
      </c>
      <c r="AG5" t="s">
        <v>2375</v>
      </c>
      <c r="AY5" t="s">
        <v>984</v>
      </c>
      <c r="AZ5" t="s">
        <v>1018</v>
      </c>
      <c r="BK5" t="s">
        <v>961</v>
      </c>
      <c r="BV5" t="s">
        <v>2497</v>
      </c>
      <c r="BW5" t="s">
        <v>2498</v>
      </c>
      <c r="BY5" t="str">
        <f>'Translate&amp;Prices&amp;Logo'!$B$229</f>
        <v>W górę</v>
      </c>
      <c r="BZ5">
        <v>3</v>
      </c>
      <c r="CA5">
        <v>76</v>
      </c>
      <c r="CD5" t="s">
        <v>964</v>
      </c>
      <c r="CE5">
        <v>1</v>
      </c>
      <c r="CF5">
        <v>0</v>
      </c>
      <c r="ED5" t="s">
        <v>1652</v>
      </c>
      <c r="EE5" t="s">
        <v>3189</v>
      </c>
      <c r="EJ5">
        <v>3</v>
      </c>
      <c r="EK5" t="s">
        <v>74</v>
      </c>
      <c r="EN5" t="str">
        <f>IF(Ram_5!H25="",'Translate&amp;Prices&amp;Logo'!B642,"")</f>
        <v>Folia</v>
      </c>
      <c r="EO5">
        <v>3</v>
      </c>
      <c r="ER5" t="s">
        <v>2447</v>
      </c>
      <c r="ES5" t="s">
        <v>2448</v>
      </c>
      <c r="EV5">
        <v>5</v>
      </c>
      <c r="EW5" t="s">
        <v>2175</v>
      </c>
      <c r="EY5" s="206" t="str">
        <f>'Translate&amp;Prices&amp;Logo'!B169</f>
        <v>siatka elox - oko 10x6x1 mm</v>
      </c>
      <c r="FA5" s="34" t="str">
        <f>'Translate&amp;Prices&amp;Logo'!B649</f>
        <v>520408 SALICE AIR SOFT zawiasy niklowe z zestawem adapterów 2 szt</v>
      </c>
    </row>
    <row r="6" spans="1:159">
      <c r="A6" t="str">
        <f>'Translate&amp;Prices&amp;Logo'!$B$11</f>
        <v>BRW szczotkowany - maksymalna zalecana długość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W dół</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zawiasy o kącie otwarcia 92° kpl. 2 szt</v>
      </c>
    </row>
    <row r="7" spans="1:159">
      <c r="A7" t="str">
        <f>'Translate&amp;Prices&amp;Logo'!$B$12</f>
        <v>BRW Czarny matowy - maksymalna zalecana długość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zawiasy komplet 2 szt</v>
      </c>
    </row>
    <row r="8" spans="1:159">
      <c r="A8" t="str">
        <f>'Translate&amp;Prices&amp;Logo'!$B$14</f>
        <v>BRW czarna szczotka - maksymalna zalecana długość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zawiasy z zestawem adapterów 2 szt</v>
      </c>
    </row>
    <row r="9" spans="1:159">
      <c r="A9" t="str">
        <f>'Translate&amp;Prices&amp;Logo'!$B$15</f>
        <v>BRW INOX ACIER gratta - maksymalna zalecana długość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zawiasy z zestawem adapterów 2 szt</v>
      </c>
    </row>
    <row r="10" spans="1:159">
      <c r="A10" t="str">
        <f>'Translate&amp;Prices&amp;Logo'!$B$7</f>
        <v>BRW antracyt RAL 7021 - maksymalna zalecana długość profilu 2500 mm</v>
      </c>
      <c r="B10">
        <v>1</v>
      </c>
      <c r="C10" t="s">
        <v>651</v>
      </c>
      <c r="D10">
        <v>0</v>
      </c>
      <c r="M10" t="str">
        <f>'Translate&amp;Prices&amp;Logo'!B560</f>
        <v>Poziomo (termin dostawy 4 tygodnie)</v>
      </c>
      <c r="N10">
        <f>IF(Ram_5!$H$9=kombinace_5!M10,1,0)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maksymalna zalecana długość profilu 2500 mm</v>
      </c>
      <c r="B11">
        <v>1</v>
      </c>
      <c r="C11" t="s">
        <v>651</v>
      </c>
      <c r="D11">
        <v>0</v>
      </c>
      <c r="M11" t="str">
        <f>'Translate&amp;Prices&amp;Logo'!B561</f>
        <v>Pionowo (termin dostawy 4 tygodnie)</v>
      </c>
      <c r="N11">
        <f>IF(Ram_5!$H$9=kombinace_5!M11,2,0)</f>
        <v>0</v>
      </c>
      <c r="AC11">
        <v>0</v>
      </c>
      <c r="AD11">
        <v>0</v>
      </c>
      <c r="AF11" t="s">
        <v>105</v>
      </c>
      <c r="AG11" t="s">
        <v>969</v>
      </c>
      <c r="AY11" t="s">
        <v>954</v>
      </c>
      <c r="AZ11" t="s">
        <v>1023</v>
      </c>
      <c r="BQ11" s="208" t="s">
        <v>2263</v>
      </c>
      <c r="BY11">
        <v>5</v>
      </c>
      <c r="CA11">
        <v>240</v>
      </c>
      <c r="CD11" t="str">
        <f>CONCATENATE('Translate&amp;Prices&amp;Logo'!B666,"_K12")</f>
        <v>dolny_K12</v>
      </c>
      <c r="CE11">
        <v>1</v>
      </c>
      <c r="CF11">
        <v>0</v>
      </c>
      <c r="DN11" t="s">
        <v>69</v>
      </c>
      <c r="DO11" s="2" t="s">
        <v>69</v>
      </c>
      <c r="ED11" t="s">
        <v>1658</v>
      </c>
      <c r="EE11" t="s">
        <v>1752</v>
      </c>
      <c r="ER11" t="s">
        <v>2155</v>
      </c>
      <c r="ES11" t="s">
        <v>2161</v>
      </c>
    </row>
    <row r="12" spans="1:159">
      <c r="A12" t="str">
        <f>'Translate&amp;Prices&amp;Logo'!$B$72</f>
        <v>BRW champagne light - maksymalna zalecana długość profilu 2500 mm</v>
      </c>
      <c r="B12">
        <v>1</v>
      </c>
      <c r="C12" t="s">
        <v>651</v>
      </c>
      <c r="D12">
        <v>0</v>
      </c>
      <c r="M12" t="str">
        <f>'Translate&amp;Prices&amp;Logo'!B562</f>
        <v>Poziomo i pionowo (termin dostawy 4 tygodnie)</v>
      </c>
      <c r="N12">
        <f>IF(Ram_5!$H$9=kombinace_5!M12,3,0)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brąz - maksymalna zalecana długość profilu 2500 mm</v>
      </c>
      <c r="B13">
        <v>1</v>
      </c>
      <c r="C13" t="s">
        <v>651</v>
      </c>
      <c r="D13">
        <v>0</v>
      </c>
      <c r="AC13">
        <v>0</v>
      </c>
      <c r="AD13">
        <v>0</v>
      </c>
      <c r="AF13" t="s">
        <v>105</v>
      </c>
      <c r="AG13" t="s">
        <v>972</v>
      </c>
      <c r="AY13" t="s">
        <v>954</v>
      </c>
      <c r="AZ13" t="s">
        <v>1025</v>
      </c>
      <c r="BQ13" s="209"/>
      <c r="BR13" t="s">
        <v>966</v>
      </c>
      <c r="BY13" t="str">
        <f>'Translate&amp;Prices&amp;Logo'!$B$560</f>
        <v>Poziomo (termin dostawy 4 tygodnie)</v>
      </c>
      <c r="BZ13">
        <v>1</v>
      </c>
      <c r="CA13">
        <v>288</v>
      </c>
      <c r="CD13" t="str">
        <f>CONCATENATE('Translate&amp;Prices&amp;Logo'!B666,"_kraby")</f>
        <v>dolny_kraby</v>
      </c>
      <c r="CE13">
        <v>1</v>
      </c>
      <c r="CF13">
        <v>0</v>
      </c>
      <c r="DN13" t="s">
        <v>220</v>
      </c>
      <c r="DO13" s="2" t="s">
        <v>68</v>
      </c>
      <c r="ED13" t="s">
        <v>2507</v>
      </c>
      <c r="EE13" t="s">
        <v>2506</v>
      </c>
      <c r="ER13" t="s">
        <v>2157</v>
      </c>
      <c r="ES13" t="s">
        <v>2157</v>
      </c>
    </row>
    <row r="14" spans="1:159">
      <c r="A14" t="str">
        <f>'Translate&amp;Prices&amp;Logo'!$B$16</f>
        <v>BRW INOX LIJA - maksymalna zalecana długość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Pionowo (termin dostawy 4 tygodnie)</v>
      </c>
      <c r="BZ14">
        <v>2</v>
      </c>
      <c r="CA14">
        <v>320</v>
      </c>
      <c r="CD14" t="s">
        <v>980</v>
      </c>
      <c r="CE14">
        <v>1</v>
      </c>
      <c r="CF14">
        <v>0</v>
      </c>
      <c r="DN14" t="s">
        <v>221</v>
      </c>
      <c r="DO14" s="2" t="s">
        <v>69</v>
      </c>
      <c r="ED14" t="s">
        <v>1660</v>
      </c>
      <c r="EE14" t="s">
        <v>1754</v>
      </c>
      <c r="ER14" t="s">
        <v>2158</v>
      </c>
      <c r="ES14" t="s">
        <v>2158</v>
      </c>
    </row>
    <row r="15" spans="1:159">
      <c r="A15" t="str">
        <f>'Translate&amp;Prices&amp;Logo'!$B$64</f>
        <v>BRW kaszmirowy - maksymalna zalecana długość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Poziomo i pionowo (termin dostawy 4 tygodnie)</v>
      </c>
      <c r="BZ15">
        <v>3</v>
      </c>
      <c r="CA15">
        <v>384</v>
      </c>
      <c r="CD15" t="s">
        <v>981</v>
      </c>
      <c r="CE15">
        <v>1</v>
      </c>
      <c r="CF15">
        <v>0</v>
      </c>
      <c r="DN15" t="s">
        <v>1145</v>
      </c>
      <c r="DO15" s="2" t="s">
        <v>70</v>
      </c>
      <c r="ED15" t="s">
        <v>1661</v>
      </c>
      <c r="EE15" t="s">
        <v>1755</v>
      </c>
      <c r="ER15" t="s">
        <v>2159</v>
      </c>
      <c r="ES15" t="s">
        <v>2159</v>
      </c>
    </row>
    <row r="16" spans="1:159">
      <c r="A16" t="str">
        <f>'Translate&amp;Prices&amp;Logo'!$B$13</f>
        <v>BRW złota- maksymalna zalecana długość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StrongLift_gorny</v>
      </c>
      <c r="CE16">
        <v>1</v>
      </c>
      <c r="CF16">
        <v>1</v>
      </c>
      <c r="DN16" t="s">
        <v>284</v>
      </c>
      <c r="DO16" s="2" t="s">
        <v>68</v>
      </c>
      <c r="ED16" t="s">
        <v>1662</v>
      </c>
      <c r="EE16" t="s">
        <v>1756</v>
      </c>
      <c r="ER16" t="s">
        <v>2446</v>
      </c>
      <c r="ES16" t="s">
        <v>2446</v>
      </c>
      <c r="FC16" s="244"/>
    </row>
    <row r="17" spans="1:159">
      <c r="A17" t="str">
        <f>'Translate&amp;Prices&amp;Logo'!$B$55</f>
        <v>BRW złota szczotkowany - maksymalna zalecana zalecana długość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StrongLift_dolny</v>
      </c>
      <c r="CE17">
        <v>1</v>
      </c>
      <c r="CF17">
        <v>1</v>
      </c>
      <c r="DN17" t="s">
        <v>1244</v>
      </c>
      <c r="DO17" s="2" t="s">
        <v>69</v>
      </c>
      <c r="ED17" t="s">
        <v>1663</v>
      </c>
      <c r="EE17" t="s">
        <v>1757</v>
      </c>
      <c r="ER17" t="s">
        <v>2448</v>
      </c>
      <c r="ES17" t="s">
        <v>2448</v>
      </c>
      <c r="FC17" s="244"/>
    </row>
    <row r="18" spans="1:159">
      <c r="A18" t="str">
        <f>'Translate&amp;Prices&amp;Logo'!$B$17</f>
        <v>Corleone (elox.)- maksymalna zalecana długość profilu 1500 mm</v>
      </c>
      <c r="B18">
        <v>2</v>
      </c>
      <c r="C18" t="s">
        <v>651</v>
      </c>
      <c r="D18">
        <v>0</v>
      </c>
      <c r="E18">
        <v>3</v>
      </c>
      <c r="F18" t="str">
        <f>'Translate&amp;Prices&amp;Logo'!$B$82</f>
        <v>Rocca elox (lewa i prawa) + Varna elox (góra i dół)</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czarny matowy - maksymalna zalecana długość profilu 1500 mm</v>
      </c>
      <c r="B19">
        <v>2</v>
      </c>
      <c r="C19" t="s">
        <v>651</v>
      </c>
      <c r="D19">
        <v>0</v>
      </c>
      <c r="F19" t="str">
        <f>'Translate&amp;Prices&amp;Logo'!$B$83</f>
        <v>Rocca czarny (lewa i prawa) + Varna czarny (góra i dół)</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czarne  - maksymalna zalecana długość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antracyt mat RAL 7021 mat lakier - maksymalna zalecana długość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maksymalna zalecana długość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Czarny matowy - maksymalna zalecana długość profilu 2500 mm</v>
      </c>
      <c r="B23">
        <v>2</v>
      </c>
      <c r="C23" t="s">
        <v>998</v>
      </c>
      <c r="D23">
        <v>0</v>
      </c>
      <c r="AA23" t="s">
        <v>966</v>
      </c>
      <c r="AB23" t="e">
        <f>IF(Ram_5!AU7=2,"FREEspace","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bialy matowy RAL 9003 - maksymalna zalecana długość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złota - maksymalna zalecana zalecana długość profilu 2150 mm</v>
      </c>
      <c r="B25">
        <v>2</v>
      </c>
      <c r="C25" t="s">
        <v>998</v>
      </c>
      <c r="D25">
        <v>0</v>
      </c>
      <c r="AF25" t="s">
        <v>105</v>
      </c>
      <c r="AG25" t="s">
        <v>980</v>
      </c>
      <c r="ED25" t="s">
        <v>1671</v>
      </c>
      <c r="EE25" t="s">
        <v>3200</v>
      </c>
      <c r="ER25" t="s">
        <v>2167</v>
      </c>
      <c r="ES25" t="s">
        <v>2167</v>
      </c>
    </row>
    <row r="26" spans="1:159">
      <c r="A26" t="str">
        <f>'Translate&amp;Prices&amp;Logo'!$B$22</f>
        <v>Modena (elox.) - maksymalna zalecana długość profilu 2500 mm</v>
      </c>
      <c r="B26">
        <v>2</v>
      </c>
      <c r="C26" t="s">
        <v>651</v>
      </c>
      <c r="D26">
        <v>0</v>
      </c>
      <c r="AF26" t="s">
        <v>106</v>
      </c>
      <c r="AG26" t="s">
        <v>980</v>
      </c>
      <c r="ED26" t="s">
        <v>1672</v>
      </c>
      <c r="EE26" t="s">
        <v>3201</v>
      </c>
      <c r="ER26" t="s">
        <v>2168</v>
      </c>
      <c r="ES26" t="s">
        <v>2168</v>
      </c>
    </row>
    <row r="27" spans="1:159">
      <c r="A27" t="str">
        <f>'Translate&amp;Prices&amp;Logo'!$B$23</f>
        <v>Modena Czarny matowy - maksymalna zalecana długość profilu 2500 mm</v>
      </c>
      <c r="B27">
        <v>2</v>
      </c>
      <c r="C27" t="s">
        <v>651</v>
      </c>
      <c r="D27">
        <v>0</v>
      </c>
      <c r="AF27" t="s">
        <v>105</v>
      </c>
      <c r="AG27" t="s">
        <v>981</v>
      </c>
      <c r="ED27" t="s">
        <v>1673</v>
      </c>
      <c r="EE27" t="s">
        <v>3203</v>
      </c>
      <c r="ER27" t="s">
        <v>2169</v>
      </c>
      <c r="ES27" t="s">
        <v>2169</v>
      </c>
    </row>
    <row r="28" spans="1:159">
      <c r="A28" t="str">
        <f>'Translate&amp;Prices&amp;Logo'!$B$25</f>
        <v>Modena czarna szczotka - maksymalna zalecana długość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LIJA - maksymalna zalecana długość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brąz - maksymalna zalecana długość profilu 2500 mm</v>
      </c>
      <c r="B30">
        <v>2</v>
      </c>
      <c r="C30" t="s">
        <v>651</v>
      </c>
      <c r="D30">
        <v>0</v>
      </c>
      <c r="AA30" t="s">
        <v>976</v>
      </c>
      <c r="AB30" t="str">
        <f>CONCATENATE('Translate&amp;Prices&amp;Logo'!B666,"_K12")</f>
        <v>dolny_K12</v>
      </c>
      <c r="AC30">
        <v>1</v>
      </c>
      <c r="AD30">
        <v>0</v>
      </c>
      <c r="AF30" t="s">
        <v>106</v>
      </c>
      <c r="AG30" t="s">
        <v>982</v>
      </c>
      <c r="ED30" t="s">
        <v>1676</v>
      </c>
      <c r="EE30" t="s">
        <v>3206</v>
      </c>
      <c r="ER30" t="s">
        <v>2459</v>
      </c>
      <c r="ES30" t="s">
        <v>2459</v>
      </c>
    </row>
    <row r="31" spans="1:159">
      <c r="A31" t="str">
        <f>'Translate&amp;Prices&amp;Logo'!$B$29</f>
        <v>Pisa (elox.) - maksymalna zalecana długość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biały matowy RAL 9003 - maksymalna zalecana zalecana długość profilu 2500 mm</v>
      </c>
      <c r="B32">
        <v>2</v>
      </c>
      <c r="C32" t="s">
        <v>998</v>
      </c>
      <c r="D32">
        <v>0</v>
      </c>
      <c r="AA32" t="s">
        <v>976</v>
      </c>
      <c r="AB32" t="str">
        <f>CONCATENATE('Translate&amp;Prices&amp;Logo'!B666,"_kraby")</f>
        <v>dolny_kraby</v>
      </c>
      <c r="AC32">
        <v>1</v>
      </c>
      <c r="AD32">
        <v>0</v>
      </c>
      <c r="AF32" t="s">
        <v>106</v>
      </c>
      <c r="AG32" t="s">
        <v>983</v>
      </c>
      <c r="BY32" t="str">
        <f>'Translate&amp;Prices&amp;Logo'!$B$232</f>
        <v>W lewo</v>
      </c>
      <c r="BZ32" t="str">
        <f>'Translate&amp;Prices&amp;Logo'!$B$244&amp;" "&amp;'Translate&amp;Prices&amp;Logo'!$B$593</f>
        <v>Odległość od lewej krawędzi (górnej)</v>
      </c>
      <c r="CA32" t="str">
        <f>'Translate&amp;Prices&amp;Logo'!$B$244&amp;" "&amp;'Translate&amp;Prices&amp;Logo'!$B$591</f>
        <v>Odległość od lewej krawędzi (dolnej)</v>
      </c>
      <c r="CC32" t="s">
        <v>4537</v>
      </c>
      <c r="CD32" t="s">
        <v>4532</v>
      </c>
      <c r="ED32" t="s">
        <v>1678</v>
      </c>
      <c r="EE32" t="s">
        <v>3208</v>
      </c>
      <c r="ER32" t="s">
        <v>2461</v>
      </c>
      <c r="ES32" t="s">
        <v>2461</v>
      </c>
    </row>
    <row r="33" spans="1:149">
      <c r="A33" t="str">
        <f>'Translate&amp;Prices&amp;Logo'!$B$53</f>
        <v>Pisa biały połysk RAL 9003 - maksymalna zalecana zalecana długość profilu 2500 mm</v>
      </c>
      <c r="B33">
        <v>2</v>
      </c>
      <c r="C33" t="s">
        <v>998</v>
      </c>
      <c r="D33">
        <v>0</v>
      </c>
      <c r="AA33" t="s">
        <v>976</v>
      </c>
      <c r="AB33" t="s">
        <v>980</v>
      </c>
      <c r="AC33">
        <v>1</v>
      </c>
      <c r="AD33">
        <v>0</v>
      </c>
      <c r="AF33" t="s">
        <v>105</v>
      </c>
      <c r="AG33" t="s">
        <v>985</v>
      </c>
      <c r="BY33" t="str">
        <f>'Translate&amp;Prices&amp;Logo'!$B$231</f>
        <v>W prawo</v>
      </c>
      <c r="BZ33" t="str">
        <f>'Translate&amp;Prices&amp;Logo'!$B$645&amp;" "&amp;'Translate&amp;Prices&amp;Logo'!$B$593</f>
        <v>Odległość od prawej krawędzi (górnej)</v>
      </c>
      <c r="CA33" t="str">
        <f>'Translate&amp;Prices&amp;Logo'!$B$645&amp;" "&amp;'Translate&amp;Prices&amp;Logo'!$B$591</f>
        <v>Odległość od prawej krawędzi (dolnej)</v>
      </c>
      <c r="CC33" t="s">
        <v>4540</v>
      </c>
      <c r="CD33" t="s">
        <v>4538</v>
      </c>
      <c r="ED33" t="s">
        <v>1679</v>
      </c>
      <c r="EE33" t="s">
        <v>3209</v>
      </c>
      <c r="ER33" t="s">
        <v>2462</v>
      </c>
      <c r="ES33" t="s">
        <v>2462</v>
      </c>
    </row>
    <row r="34" spans="1:149">
      <c r="A34" t="str">
        <f>'Translate&amp;Prices&amp;Logo'!$B$30</f>
        <v>Pisa Czarny matowy - maksymalna zalecana długość profilu 2500 mm</v>
      </c>
      <c r="B34">
        <v>2</v>
      </c>
      <c r="C34" t="s">
        <v>998</v>
      </c>
      <c r="D34">
        <v>0</v>
      </c>
      <c r="AA34" t="s">
        <v>976</v>
      </c>
      <c r="AB34" t="s">
        <v>981</v>
      </c>
      <c r="AC34">
        <v>1</v>
      </c>
      <c r="AD34">
        <v>0</v>
      </c>
      <c r="AF34" t="s">
        <v>106</v>
      </c>
      <c r="AG34" t="s">
        <v>985</v>
      </c>
      <c r="BY34" t="str">
        <f>'Translate&amp;Prices&amp;Logo'!$B$229</f>
        <v>W górę</v>
      </c>
      <c r="BZ34" t="str">
        <f>'Translate&amp;Prices&amp;Logo'!$B$674&amp;" "&amp;'Translate&amp;Prices&amp;Logo'!$B$592</f>
        <v>Odległość od górnej krawędzi (lewej)</v>
      </c>
      <c r="CA34" t="str">
        <f>'Translate&amp;Prices&amp;Logo'!$B$674&amp;" "&amp;'Translate&amp;Prices&amp;Logo'!$B$594</f>
        <v>Odległość od górnej krawędzi (prawej)</v>
      </c>
      <c r="CC34" t="s">
        <v>4534</v>
      </c>
      <c r="CD34" t="s">
        <v>4536</v>
      </c>
      <c r="ED34" t="s">
        <v>1680</v>
      </c>
      <c r="EE34" t="s">
        <v>3210</v>
      </c>
      <c r="ER34" t="s">
        <v>2170</v>
      </c>
      <c r="ES34" t="s">
        <v>2170</v>
      </c>
    </row>
    <row r="35" spans="1:149">
      <c r="A35" t="str">
        <f>'Translate&amp;Prices&amp;Logo'!$B$58</f>
        <v>Pisa złota - maksymalna zalecana długość profilu 2150 mm</v>
      </c>
      <c r="B35">
        <v>2</v>
      </c>
      <c r="C35" t="s">
        <v>998</v>
      </c>
      <c r="D35">
        <v>0</v>
      </c>
      <c r="BY35" t="str">
        <f>'Translate&amp;Prices&amp;Logo'!$B$230</f>
        <v>W dół</v>
      </c>
      <c r="BZ35" t="str">
        <f>'Translate&amp;Prices&amp;Logo'!$B$675&amp;" "&amp;'Translate&amp;Prices&amp;Logo'!$B$592</f>
        <v>Odległość od dolnej krawędzi (lewej)</v>
      </c>
      <c r="CA35" t="str">
        <f>'Translate&amp;Prices&amp;Logo'!$B$675&amp;" "&amp;'Translate&amp;Prices&amp;Logo'!$B$594</f>
        <v>Odległość od dolnej krawędzi (prawej)</v>
      </c>
      <c r="CC35" t="s">
        <v>4533</v>
      </c>
      <c r="CD35" t="s">
        <v>4535</v>
      </c>
      <c r="ED35" t="s">
        <v>1681</v>
      </c>
      <c r="EE35" t="s">
        <v>1775</v>
      </c>
      <c r="ER35" t="s">
        <v>2171</v>
      </c>
      <c r="ES35" t="s">
        <v>2171</v>
      </c>
    </row>
    <row r="36" spans="1:149">
      <c r="A36" t="str">
        <f>'Translate&amp;Prices&amp;Logo'!$B$66</f>
        <v>Rimini elox naturalna - maksymalna długość profilu 1100 mm</v>
      </c>
      <c r="B36">
        <v>1</v>
      </c>
      <c r="C36" t="s">
        <v>651</v>
      </c>
      <c r="D36">
        <v>0</v>
      </c>
      <c r="ED36" t="s">
        <v>1620</v>
      </c>
      <c r="EE36" t="s">
        <v>1776</v>
      </c>
      <c r="ER36" t="s">
        <v>2172</v>
      </c>
      <c r="ES36" t="s">
        <v>2172</v>
      </c>
    </row>
    <row r="37" spans="1:149">
      <c r="A37" t="str">
        <f>'Translate&amp;Prices&amp;Logo'!$B$67</f>
        <v>Rimini czarny mat - maksymalna długość profilu 1100 mm</v>
      </c>
      <c r="B37">
        <v>1</v>
      </c>
      <c r="C37" t="s">
        <v>651</v>
      </c>
      <c r="D37">
        <v>0</v>
      </c>
      <c r="BY37" t="s">
        <v>1332</v>
      </c>
      <c r="ED37" t="s">
        <v>1621</v>
      </c>
      <c r="EE37" t="s">
        <v>1777</v>
      </c>
      <c r="ER37" t="s">
        <v>2215</v>
      </c>
      <c r="ES37" t="s">
        <v>2209</v>
      </c>
    </row>
    <row r="38" spans="1:149">
      <c r="A38" t="str">
        <f>'Translate&amp;Prices&amp;Logo'!$B$68</f>
        <v>Rimini champagne - maksymalna długość profilu 1100 mm</v>
      </c>
      <c r="B38">
        <v>1</v>
      </c>
      <c r="C38" t="s">
        <v>651</v>
      </c>
      <c r="D38">
        <v>0</v>
      </c>
      <c r="ED38" t="s">
        <v>1622</v>
      </c>
      <c r="EE38" t="s">
        <v>1778</v>
      </c>
      <c r="ER38" t="s">
        <v>2216</v>
      </c>
      <c r="ES38" t="s">
        <v>2210</v>
      </c>
    </row>
    <row r="39" spans="1:149">
      <c r="A39" t="str">
        <f>'Translate&amp;Prices&amp;Logo'!$B$69</f>
        <v>Rimini zlota - maksymalna długość profilu 1100 mm</v>
      </c>
      <c r="B39">
        <v>1</v>
      </c>
      <c r="C39" t="s">
        <v>651</v>
      </c>
      <c r="D39">
        <v>0</v>
      </c>
      <c r="AA39" t="s">
        <v>2500</v>
      </c>
      <c r="AB39" t="s">
        <v>2498</v>
      </c>
      <c r="ED39" t="s">
        <v>1623</v>
      </c>
      <c r="EE39" t="s">
        <v>1779</v>
      </c>
      <c r="ER39" t="s">
        <v>2217</v>
      </c>
      <c r="ES39" t="s">
        <v>2211</v>
      </c>
    </row>
    <row r="40" spans="1:149">
      <c r="A40" t="str">
        <f>'Translate&amp;Prices&amp;Logo'!$B$70</f>
        <v>Rimini zlota szczotkowana - maksymalna długość profilu 1100 mm</v>
      </c>
      <c r="B40">
        <v>1</v>
      </c>
      <c r="C40" t="s">
        <v>651</v>
      </c>
      <c r="D40">
        <v>0</v>
      </c>
      <c r="AA40" t="s">
        <v>2500</v>
      </c>
      <c r="AB40" t="str">
        <f>'Translate&amp;Prices&amp;Logo'!B661</f>
        <v>StrongLift_gorny</v>
      </c>
      <c r="AC40">
        <v>1</v>
      </c>
      <c r="AD40">
        <v>0</v>
      </c>
      <c r="ED40" t="s">
        <v>1624</v>
      </c>
      <c r="EE40" t="s">
        <v>1780</v>
      </c>
      <c r="ER40" t="s">
        <v>2218</v>
      </c>
      <c r="ES40" t="s">
        <v>2212</v>
      </c>
    </row>
    <row r="41" spans="1:149">
      <c r="A41" t="str">
        <f>'Translate&amp;Prices&amp;Logo'!$B$50</f>
        <v>Rocca (elox.) - maksymalna zalecana zalecana długość profilu 2150 mm</v>
      </c>
      <c r="B41">
        <v>1</v>
      </c>
      <c r="C41" t="s">
        <v>651</v>
      </c>
      <c r="D41">
        <v>0</v>
      </c>
      <c r="AB41" t="str">
        <f>'Translate&amp;Prices&amp;Logo'!B662</f>
        <v>StrongLift_dolny</v>
      </c>
      <c r="AC41">
        <v>1</v>
      </c>
      <c r="AD41">
        <v>0</v>
      </c>
      <c r="ED41" t="s">
        <v>1625</v>
      </c>
      <c r="EE41" t="s">
        <v>1781</v>
      </c>
      <c r="ER41" t="s">
        <v>2219</v>
      </c>
      <c r="ES41" t="s">
        <v>2213</v>
      </c>
    </row>
    <row r="42" spans="1:149">
      <c r="A42" t="str">
        <f>'Translate&amp;Prices&amp;Logo'!$B$42</f>
        <v>Rocca czarny matowy - maksymalna zalecana zalecana długość profilu 2150 mm</v>
      </c>
      <c r="B42">
        <v>1</v>
      </c>
      <c r="C42" t="s">
        <v>651</v>
      </c>
      <c r="D42">
        <v>0</v>
      </c>
      <c r="AA42" t="s">
        <v>2082</v>
      </c>
      <c r="AB42" t="s">
        <v>1010</v>
      </c>
      <c r="ED42" t="s">
        <v>1626</v>
      </c>
      <c r="EE42" t="s">
        <v>1782</v>
      </c>
      <c r="ER42" t="s">
        <v>2220</v>
      </c>
      <c r="ES42" t="s">
        <v>2214</v>
      </c>
    </row>
    <row r="43" spans="1:149">
      <c r="A43" t="str">
        <f>'Translate&amp;Prices&amp;Logo'!$B$63</f>
        <v>Treviso czarny matowy - maksymalna zalecana długość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maksymalna zalecana zalecana długość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szczotkowany - maksymalna zalecana zalecana długość profilu 2500 mm</v>
      </c>
      <c r="B45">
        <v>1</v>
      </c>
      <c r="C45" t="s">
        <v>651</v>
      </c>
      <c r="D45">
        <v>0</v>
      </c>
      <c r="AB45" t="s">
        <v>1111</v>
      </c>
      <c r="AC45">
        <v>0</v>
      </c>
      <c r="AD45">
        <v>0</v>
      </c>
      <c r="ED45" t="s">
        <v>1629</v>
      </c>
      <c r="EE45" t="s">
        <v>1785</v>
      </c>
      <c r="ER45" t="s">
        <v>2239</v>
      </c>
      <c r="ES45" t="s">
        <v>2233</v>
      </c>
    </row>
    <row r="46" spans="1:149">
      <c r="A46" t="str">
        <f>'Translate&amp;Prices&amp;Logo'!$B$37</f>
        <v>Verona czarny matowy - maksymalna zalecana zalecana długość profilu 2500 mm</v>
      </c>
      <c r="B46">
        <v>1</v>
      </c>
      <c r="C46" t="s">
        <v>651</v>
      </c>
      <c r="D46">
        <v>0</v>
      </c>
      <c r="ED46" t="s">
        <v>1630</v>
      </c>
      <c r="EE46" t="s">
        <v>1786</v>
      </c>
      <c r="ER46" t="s">
        <v>2240</v>
      </c>
      <c r="ES46" t="s">
        <v>2234</v>
      </c>
    </row>
    <row r="47" spans="1:149">
      <c r="A47" t="str">
        <f>'Translate&amp;Prices&amp;Logo'!$B$36</f>
        <v>Verona czarny połysk - maksymalna zalecana zalecana długość profilu 2500 mm</v>
      </c>
      <c r="B47">
        <v>1</v>
      </c>
      <c r="C47" t="s">
        <v>651</v>
      </c>
      <c r="D47">
        <v>0</v>
      </c>
      <c r="ED47" t="s">
        <v>1631</v>
      </c>
      <c r="EE47" t="s">
        <v>1787</v>
      </c>
      <c r="ER47" t="s">
        <v>2241</v>
      </c>
      <c r="ES47" t="s">
        <v>2235</v>
      </c>
    </row>
    <row r="48" spans="1:149">
      <c r="A48" t="str">
        <f>'Translate&amp;Prices&amp;Logo'!$B$38</f>
        <v>Verona braz - maksymalna zalecana zalecana długość profilu 2500 mm</v>
      </c>
      <c r="B48">
        <v>1</v>
      </c>
      <c r="C48" t="s">
        <v>651</v>
      </c>
      <c r="D48">
        <v>0</v>
      </c>
      <c r="ED48" t="s">
        <v>1632</v>
      </c>
      <c r="EE48" t="s">
        <v>1788</v>
      </c>
      <c r="ER48" t="s">
        <v>2242</v>
      </c>
      <c r="ES48" t="s">
        <v>2236</v>
      </c>
    </row>
    <row r="49" spans="1:149">
      <c r="A49" t="str">
        <f>'Translate&amp;Prices&amp;Logo'!$B$39</f>
        <v>Verona szampański - maksymalna zalecana zalecana długość profilu 2500 mm</v>
      </c>
      <c r="B49">
        <v>1</v>
      </c>
      <c r="C49" t="s">
        <v>651</v>
      </c>
      <c r="D49">
        <v>0</v>
      </c>
      <c r="AA49" t="s">
        <v>2083</v>
      </c>
      <c r="AB49" t="s">
        <v>2085</v>
      </c>
      <c r="ED49" t="s">
        <v>1633</v>
      </c>
      <c r="EE49" t="s">
        <v>1789</v>
      </c>
      <c r="ER49" t="s">
        <v>2243</v>
      </c>
      <c r="ES49" t="s">
        <v>2237</v>
      </c>
    </row>
    <row r="50" spans="1:149">
      <c r="A50" t="str">
        <f>'Translate&amp;Prices&amp;Logo'!$B$40</f>
        <v>Verona Inox szczotkowany (Inox Lija)- maksymalna zalecana zalecana długość profilu 2500 mm</v>
      </c>
      <c r="B50">
        <v>1</v>
      </c>
      <c r="C50" t="s">
        <v>651</v>
      </c>
      <c r="D50">
        <v>0</v>
      </c>
      <c r="AB50" t="s">
        <v>2374</v>
      </c>
      <c r="AC50">
        <v>0</v>
      </c>
      <c r="AD50">
        <v>0</v>
      </c>
      <c r="ED50" t="s">
        <v>1634</v>
      </c>
      <c r="EE50" t="s">
        <v>1790</v>
      </c>
      <c r="ER50" t="s">
        <v>2244</v>
      </c>
      <c r="ES50" t="s">
        <v>2238</v>
      </c>
    </row>
    <row r="51" spans="1:149">
      <c r="A51" t="str">
        <f>'Translate&amp;Prices&amp;Logo'!$B$41</f>
        <v>Verona Acier Gratta - maksymalna zalecana zalecana długość profilu 2500 mm</v>
      </c>
      <c r="B51">
        <v>1</v>
      </c>
      <c r="C51" t="s">
        <v>651</v>
      </c>
      <c r="D51">
        <v>0</v>
      </c>
      <c r="AB51" t="s">
        <v>2376</v>
      </c>
      <c r="AC51">
        <v>0</v>
      </c>
      <c r="AD51">
        <v>0</v>
      </c>
      <c r="ED51" t="s">
        <v>1635</v>
      </c>
      <c r="EE51" t="s">
        <v>1791</v>
      </c>
      <c r="ER51" t="s">
        <v>2473</v>
      </c>
      <c r="ES51" t="s">
        <v>2465</v>
      </c>
    </row>
    <row r="52" spans="1:149">
      <c r="A52" t="str">
        <f>'Translate&amp;Prices&amp;Logo'!$B$62</f>
        <v>Verona Ivory mat - maksymalna zalecana zalecana długość profilu 2150 mm</v>
      </c>
      <c r="B52">
        <v>1</v>
      </c>
      <c r="C52" t="s">
        <v>651</v>
      </c>
      <c r="D52">
        <v>0</v>
      </c>
      <c r="AB52" t="s">
        <v>2371</v>
      </c>
      <c r="AC52">
        <v>0</v>
      </c>
      <c r="AD52">
        <v>0</v>
      </c>
      <c r="ED52" t="s">
        <v>1636</v>
      </c>
      <c r="EE52" t="s">
        <v>1792</v>
      </c>
      <c r="ER52" t="s">
        <v>2474</v>
      </c>
      <c r="ES52" t="s">
        <v>2466</v>
      </c>
    </row>
    <row r="53" spans="1:149">
      <c r="A53" t="str">
        <f>'Translate&amp;Prices&amp;Logo'!$B$65</f>
        <v>Verona kaszmirowy - maksymalna zalecana długość profilu 2150 mm</v>
      </c>
      <c r="B53">
        <v>1</v>
      </c>
      <c r="C53" t="s">
        <v>651</v>
      </c>
      <c r="D53">
        <v>0</v>
      </c>
      <c r="AB53" t="s">
        <v>2372</v>
      </c>
      <c r="AC53">
        <v>0</v>
      </c>
      <c r="AD53">
        <v>0</v>
      </c>
      <c r="ED53" t="s">
        <v>1637</v>
      </c>
      <c r="EE53" t="s">
        <v>1793</v>
      </c>
      <c r="ER53" t="s">
        <v>2475</v>
      </c>
      <c r="ES53" t="s">
        <v>2467</v>
      </c>
    </row>
    <row r="54" spans="1:149">
      <c r="A54" t="str">
        <f>'Translate&amp;Prices&amp;Logo'!$B$24</f>
        <v>Verona złota - maksymalna zalecana długość profilu 2150 mm</v>
      </c>
      <c r="B54">
        <v>1</v>
      </c>
      <c r="C54" t="s">
        <v>651</v>
      </c>
      <c r="D54">
        <v>0</v>
      </c>
      <c r="ED54" t="s">
        <v>1638</v>
      </c>
      <c r="EE54" t="s">
        <v>1794</v>
      </c>
      <c r="ER54" t="s">
        <v>2476</v>
      </c>
      <c r="ES54" t="s">
        <v>2468</v>
      </c>
    </row>
    <row r="55" spans="1:149">
      <c r="A55" t="str">
        <f>'Translate&amp;Prices&amp;Logo'!$B$56</f>
        <v>Verona złota szczotkowany - maksymalna zalecana zalecana długość profilu 2150 mm</v>
      </c>
      <c r="B55">
        <v>1</v>
      </c>
      <c r="C55" t="s">
        <v>651</v>
      </c>
      <c r="D55">
        <v>0</v>
      </c>
      <c r="ED55" t="s">
        <v>1639</v>
      </c>
      <c r="EE55" t="s">
        <v>1795</v>
      </c>
      <c r="ER55" t="s">
        <v>2477</v>
      </c>
      <c r="ES55" t="s">
        <v>2469</v>
      </c>
    </row>
    <row r="56" spans="1:149">
      <c r="A56" t="str">
        <f>'Translate&amp;Prices&amp;Logo'!$B$43</f>
        <v>Vivaro (elox.) - maksymalna zalecana zalecana długość profilu 2500 mm</v>
      </c>
      <c r="B56">
        <v>2</v>
      </c>
      <c r="C56" t="s">
        <v>651</v>
      </c>
      <c r="D56">
        <v>1</v>
      </c>
      <c r="ED56" t="s">
        <v>1640</v>
      </c>
      <c r="EE56" t="s">
        <v>1796</v>
      </c>
      <c r="ER56" t="s">
        <v>2478</v>
      </c>
      <c r="ES56" t="s">
        <v>2470</v>
      </c>
    </row>
    <row r="57" spans="1:149">
      <c r="A57" t="str">
        <f>'Translate&amp;Prices&amp;Logo'!$B$44</f>
        <v>Vivaro czarny matowy - maksymalna zalecana zalecana długość profilu 2500 mm</v>
      </c>
      <c r="B57">
        <v>2</v>
      </c>
      <c r="C57" t="s">
        <v>651</v>
      </c>
      <c r="D57">
        <v>1</v>
      </c>
      <c r="ED57" t="s">
        <v>1641</v>
      </c>
      <c r="EE57" t="s">
        <v>1797</v>
      </c>
      <c r="ER57" t="s">
        <v>2221</v>
      </c>
      <c r="ES57" t="s">
        <v>2209</v>
      </c>
    </row>
    <row r="58" spans="1:149">
      <c r="A58" t="str">
        <f>'Translate&amp;Prices&amp;Logo'!$B$46</f>
        <v>Vivaro INOX LIJA - maksymalna zalecana zalecana długość profilu 2500 mm</v>
      </c>
      <c r="B58">
        <v>2</v>
      </c>
      <c r="C58" t="s">
        <v>651</v>
      </c>
      <c r="D58">
        <v>0</v>
      </c>
      <c r="ED58" t="s">
        <v>1642</v>
      </c>
      <c r="EE58" t="s">
        <v>1798</v>
      </c>
      <c r="ER58" t="s">
        <v>2222</v>
      </c>
      <c r="ES58" t="s">
        <v>2210</v>
      </c>
    </row>
    <row r="59" spans="1:149">
      <c r="A59" t="str">
        <f>'Translate&amp;Prices&amp;Logo'!$B$47</f>
        <v>Vivaro biały matowy RAL 9003 - maksymalna zalecana zalecana długość profilu 2500 mm</v>
      </c>
      <c r="B59">
        <v>2</v>
      </c>
      <c r="C59" t="s">
        <v>651</v>
      </c>
      <c r="D59">
        <v>0</v>
      </c>
      <c r="AA59" t="s">
        <v>2084</v>
      </c>
      <c r="AB59" t="s">
        <v>2086</v>
      </c>
      <c r="ED59" t="s">
        <v>1643</v>
      </c>
      <c r="EE59" t="s">
        <v>1799</v>
      </c>
      <c r="ER59" t="s">
        <v>2223</v>
      </c>
      <c r="ES59" t="s">
        <v>2211</v>
      </c>
    </row>
    <row r="60" spans="1:149">
      <c r="A60" t="str">
        <f>'Translate&amp;Prices&amp;Logo'!$B$48</f>
        <v>Vivaro biały połysk RAL 9003 - maksymalna zalecana zalecana długość profilu 2500 mm</v>
      </c>
      <c r="B60">
        <v>2</v>
      </c>
      <c r="C60" t="s">
        <v>651</v>
      </c>
      <c r="D60">
        <v>0</v>
      </c>
      <c r="AB60" t="s">
        <v>968</v>
      </c>
      <c r="AC60">
        <v>0</v>
      </c>
      <c r="AD60">
        <v>0</v>
      </c>
      <c r="ED60" t="s">
        <v>1644</v>
      </c>
      <c r="EE60" t="s">
        <v>1800</v>
      </c>
      <c r="ER60" t="s">
        <v>2224</v>
      </c>
      <c r="ES60" t="s">
        <v>2212</v>
      </c>
    </row>
    <row r="61" spans="1:149">
      <c r="A61" t="str">
        <f>'Translate&amp;Prices&amp;Logo'!$B$31</f>
        <v>Vivaro złota - maksymalna zalecana zalecana długość profilu 2150 mm</v>
      </c>
      <c r="B61">
        <v>2</v>
      </c>
      <c r="C61" t="s">
        <v>651</v>
      </c>
      <c r="D61">
        <v>1</v>
      </c>
      <c r="AB61" t="s">
        <v>970</v>
      </c>
      <c r="AC61">
        <v>0</v>
      </c>
      <c r="AD61">
        <v>0</v>
      </c>
      <c r="ED61" t="s">
        <v>1645</v>
      </c>
      <c r="EE61" t="s">
        <v>1801</v>
      </c>
      <c r="ER61" t="s">
        <v>2225</v>
      </c>
      <c r="ES61" t="s">
        <v>2213</v>
      </c>
    </row>
    <row r="62" spans="1:149">
      <c r="A62" t="str">
        <f>'Translate&amp;Prices&amp;Logo'!$B$57</f>
        <v>Vivaro złota szczotkowany - maksymalna zalecana zalecana długość profilu 2150 mm</v>
      </c>
      <c r="B62">
        <v>2</v>
      </c>
      <c r="C62" t="s">
        <v>651</v>
      </c>
      <c r="D62">
        <v>0</v>
      </c>
      <c r="AB62" t="s">
        <v>971</v>
      </c>
      <c r="AC62">
        <v>0</v>
      </c>
      <c r="AD62">
        <v>0</v>
      </c>
      <c r="ED62" t="s">
        <v>1646</v>
      </c>
      <c r="EE62" t="s">
        <v>1802</v>
      </c>
      <c r="ER62" t="s">
        <v>2226</v>
      </c>
      <c r="ES62" t="s">
        <v>2214</v>
      </c>
    </row>
    <row r="63" spans="1:149">
      <c r="A63" t="str">
        <f>'Translate&amp;Prices&amp;Logo'!$B$82</f>
        <v>Rocca elox (lewa i prawa) + Varna elox (góra i dół)</v>
      </c>
      <c r="B63">
        <v>3</v>
      </c>
      <c r="C63" t="s">
        <v>651</v>
      </c>
      <c r="D63">
        <v>0</v>
      </c>
      <c r="AB63" t="s">
        <v>973</v>
      </c>
      <c r="AC63">
        <v>0</v>
      </c>
      <c r="AD63">
        <v>0</v>
      </c>
      <c r="ED63" t="s">
        <v>1647</v>
      </c>
      <c r="EE63" t="s">
        <v>1803</v>
      </c>
      <c r="ER63" t="s">
        <v>2479</v>
      </c>
      <c r="ES63" t="s">
        <v>2463</v>
      </c>
    </row>
    <row r="64" spans="1:149">
      <c r="A64" t="str">
        <f>'Translate&amp;Prices&amp;Logo'!$B$83</f>
        <v>Rocca czarny (lewa i prawa) + Varna czarny (góra i dół)</v>
      </c>
      <c r="B64">
        <v>3</v>
      </c>
      <c r="C64" t="s">
        <v>651</v>
      </c>
      <c r="D64">
        <v>0</v>
      </c>
      <c r="ED64" t="s">
        <v>1648</v>
      </c>
      <c r="EE64" t="s">
        <v>1804</v>
      </c>
      <c r="ER64" t="s">
        <v>2480</v>
      </c>
      <c r="ES64" t="s">
        <v>2464</v>
      </c>
    </row>
    <row r="65" spans="1:149">
      <c r="A65" t="str">
        <f>'Translate&amp;Prices&amp;Logo'!$B$73</f>
        <v>ROMA czarna matowa -  maksymalna zalecana długość profilu 2696 mm</v>
      </c>
      <c r="B65">
        <v>1</v>
      </c>
      <c r="C65" t="s">
        <v>651</v>
      </c>
      <c r="D65">
        <v>0</v>
      </c>
      <c r="ED65" t="s">
        <v>1682</v>
      </c>
      <c r="EE65" t="s">
        <v>3183</v>
      </c>
      <c r="EF65">
        <f>LEN(EE65)</f>
        <v>71</v>
      </c>
      <c r="ER65" t="s">
        <v>2245</v>
      </c>
      <c r="ES65" t="s">
        <v>2233</v>
      </c>
    </row>
    <row r="66" spans="1:149">
      <c r="A66" t="str">
        <f>'Translate&amp;Prices&amp;Logo'!$B$74</f>
        <v>ROMA champagne mat - maksymalna zalecana długość profilu 2696 mm</v>
      </c>
      <c r="B66">
        <v>1</v>
      </c>
      <c r="C66" t="s">
        <v>651</v>
      </c>
      <c r="D66">
        <v>0</v>
      </c>
      <c r="ED66" t="s">
        <v>1683</v>
      </c>
      <c r="EE66" t="s">
        <v>3186</v>
      </c>
      <c r="ER66" t="s">
        <v>2246</v>
      </c>
      <c r="ES66" t="s">
        <v>2234</v>
      </c>
    </row>
    <row r="67" spans="1:149">
      <c r="A67" t="str">
        <f>'Translate&amp;Prices&amp;Logo'!$B$75</f>
        <v>ROMA GRIP czarna matowa - maksymalna zalecana długość profilu 2696 mm</v>
      </c>
      <c r="B67">
        <v>1</v>
      </c>
      <c r="C67" t="s">
        <v>651</v>
      </c>
      <c r="D67">
        <v>0</v>
      </c>
      <c r="Q67" t="str">
        <f>'Translate&amp;Prices&amp;Logo'!$B$71</f>
        <v>BRW champagne - maksymalna zalecana długość profilu 2500 mm</v>
      </c>
      <c r="ED67" t="s">
        <v>1684</v>
      </c>
      <c r="EE67" t="s">
        <v>3188</v>
      </c>
      <c r="ER67" t="s">
        <v>2247</v>
      </c>
      <c r="ES67" t="s">
        <v>2235</v>
      </c>
    </row>
    <row r="68" spans="1:149">
      <c r="A68" t="str">
        <f>'Translate&amp;Prices&amp;Logo'!$B$76</f>
        <v>ROMA GRIP champagne mat - maksymalna zalecana długość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764D7293-8A69-4072-92F4-7194C677DE3E}">
            <xm:f>OR(Ram_1!$AU$10=1,Ram_1!$AU$10=3)</xm:f>
            <x14:dxf>
              <fill>
                <patternFill patternType="darkDown"/>
              </fill>
            </x14:dxf>
          </x14:cfRule>
          <xm:sqref>CH13</xm:sqref>
        </x14:conditionalFormatting>
        <x14:conditionalFormatting xmlns:xm="http://schemas.microsoft.com/office/excel/2006/main">
          <x14:cfRule type="expression" priority="2" id="{9611114B-E10F-4A4A-B255-BF2A74461F73}">
            <xm:f>OR(Ram_1!$AU$10=2,Ram_1!$AU$10=3)</xm:f>
            <x14:dxf>
              <fill>
                <patternFill patternType="darkDown"/>
              </fill>
            </x14:dxf>
          </x14:cfRule>
          <xm:sqref>CH14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7158-4DA5-4537-A8FA-FB5FEB1ACBFD}">
  <sheetPr codeName="List19">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10" t="str">
        <f>'Translate&amp;Prices&amp;Logo'!$B$171&amp;" "&amp;" "&amp;6</f>
        <v>Ramka  6</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213"/>
      <c r="AL2" s="213"/>
      <c r="AM2" s="213"/>
      <c r="AN2" s="213"/>
      <c r="AO2" s="213"/>
      <c r="AP2" s="491" t="str">
        <f>'Translate&amp;Prices&amp;Logo'!$B$542</f>
        <v>Wprowadzenie</v>
      </c>
      <c r="AQ2" s="492"/>
      <c r="AR2" s="492"/>
      <c r="AS2" s="492"/>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213"/>
      <c r="AL3" s="213"/>
      <c r="AM3" s="213"/>
      <c r="AN3" s="213"/>
      <c r="AO3" s="213"/>
      <c r="AP3" s="491"/>
      <c r="AQ3" s="492"/>
      <c r="AR3" s="492"/>
      <c r="AS3" s="492"/>
      <c r="AX3" s="139" t="e">
        <f>VLOOKUP(AW2,'Translate&amp;Prices&amp;Logo'!B6:D60,3,0)</f>
        <v>#N/A</v>
      </c>
      <c r="AY3" s="140" t="e">
        <f>AT9+AX3</f>
        <v>#N/A</v>
      </c>
      <c r="AZ3" s="141"/>
      <c r="BA3" s="140"/>
      <c r="BB3" s="139"/>
      <c r="BC3" s="139"/>
      <c r="BD3" s="582">
        <f>(AI30/1000)*H11</f>
        <v>0</v>
      </c>
      <c r="BE3" s="582"/>
      <c r="BF3" s="582"/>
      <c r="BG3" s="582"/>
      <c r="BH3" s="582"/>
      <c r="BI3" s="582">
        <f>(AR14/1000)*M11</f>
        <v>0</v>
      </c>
      <c r="BJ3" s="582"/>
      <c r="BK3" s="582"/>
      <c r="BL3" s="582"/>
      <c r="BM3" s="582"/>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95" t="str">
        <f>IFERROR(IF(kombinace_6!FC2=TRUE,'Translate&amp;Prices&amp;Logo'!B656,IF(VLOOKUP(H8,kombinace_6!$A:$E,5,0)=3,'Translate&amp;Prices&amp;Logo'!B644,
IF(OR(H8='Translate&amp;Prices&amp;Logo'!B66,H8='Translate&amp;Prices&amp;Logo'!B67,H8='Translate&amp;Prices&amp;Logo'!B68,H8='Translate&amp;Prices&amp;Logo'!B69,H8='Translate&amp;Prices&amp;Logo'!B70),'Translate&amp;Prices&amp;Logo'!B657,""))), "")</f>
        <v/>
      </c>
      <c r="AC4" s="595"/>
      <c r="AD4" s="595"/>
      <c r="AE4" s="595"/>
      <c r="AF4" s="595"/>
      <c r="AG4" s="595"/>
      <c r="AH4" s="595"/>
      <c r="AI4" s="595"/>
      <c r="AJ4" s="595"/>
      <c r="AK4" s="595"/>
      <c r="AL4" s="595"/>
      <c r="AM4" s="595"/>
      <c r="AN4" s="595"/>
      <c r="AO4" s="9"/>
      <c r="AP4" s="9"/>
      <c r="AQ4" s="9"/>
      <c r="AR4" s="9"/>
      <c r="AS4" s="105"/>
      <c r="AT4" s="142"/>
      <c r="AU4" s="143"/>
      <c r="AV4" s="143"/>
    </row>
    <row r="5" spans="1:65" ht="34.5" customHeight="1" thickBot="1">
      <c r="A5" s="9"/>
      <c r="B5" s="594" t="str">
        <f>'Translate&amp;Prices&amp;Logo'!$B$171&amp;" "&amp;" "&amp;1</f>
        <v>Ramka  1</v>
      </c>
      <c r="C5" s="594"/>
      <c r="D5" s="594"/>
      <c r="E5" s="106"/>
      <c r="F5" s="594" t="str">
        <f>'Translate&amp;Prices&amp;Logo'!$B$171&amp;" "&amp;" "&amp;2</f>
        <v>Ramka  2</v>
      </c>
      <c r="G5" s="594"/>
      <c r="H5" s="594"/>
      <c r="I5" s="9"/>
      <c r="J5" s="594" t="str">
        <f>'Translate&amp;Prices&amp;Logo'!$B$171&amp;" "&amp;" "&amp;3</f>
        <v>Ramka  3</v>
      </c>
      <c r="K5" s="594"/>
      <c r="L5" s="594"/>
      <c r="M5" s="9"/>
      <c r="N5" s="594" t="str">
        <f>'Translate&amp;Prices&amp;Logo'!$B$171&amp;" "&amp;" "&amp;4</f>
        <v>Ramka  4</v>
      </c>
      <c r="O5" s="594"/>
      <c r="P5" s="594"/>
      <c r="Q5" s="9"/>
      <c r="R5" s="594" t="str">
        <f>'Translate&amp;Prices&amp;Logo'!$B$171&amp;" "&amp;" "&amp;5</f>
        <v>Ramka  5</v>
      </c>
      <c r="S5" s="594"/>
      <c r="T5" s="594"/>
      <c r="U5" s="9"/>
      <c r="V5" s="593" t="str">
        <f>'Translate&amp;Prices&amp;Logo'!$B$171&amp;" "&amp;" "&amp;6</f>
        <v>Ramka  6</v>
      </c>
      <c r="W5" s="593"/>
      <c r="X5" s="593"/>
      <c r="Y5" s="9"/>
      <c r="Z5" s="9"/>
      <c r="AA5" s="9"/>
      <c r="AB5" s="596"/>
      <c r="AC5" s="596"/>
      <c r="AD5" s="596"/>
      <c r="AE5" s="596"/>
      <c r="AF5" s="596"/>
      <c r="AG5" s="596"/>
      <c r="AH5" s="596"/>
      <c r="AI5" s="596"/>
      <c r="AJ5" s="596"/>
      <c r="AK5" s="596"/>
      <c r="AL5" s="596"/>
      <c r="AM5" s="596"/>
      <c r="AN5" s="596"/>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97" t="str">
        <f>'Translate&amp;Prices&amp;Logo'!$B$544</f>
        <v>Połączenie 2 profili</v>
      </c>
      <c r="C7" s="598"/>
      <c r="D7" s="598"/>
      <c r="E7" s="598"/>
      <c r="F7" s="598"/>
      <c r="G7" s="635" t="str">
        <f>IF(kombinace_6!FC2=TRUE,AB4,"")</f>
        <v/>
      </c>
      <c r="H7" s="635"/>
      <c r="I7" s="635"/>
      <c r="J7" s="635"/>
      <c r="K7" s="635"/>
      <c r="L7" s="635"/>
      <c r="M7" s="635"/>
      <c r="N7" s="635"/>
      <c r="O7" s="635"/>
      <c r="P7" s="635"/>
      <c r="Q7" s="636"/>
      <c r="R7" s="224"/>
      <c r="S7" s="602" t="str">
        <f>'Translate&amp;Prices&amp;Logo'!$B$574</f>
        <v>Ważne informacje:</v>
      </c>
      <c r="T7" s="602"/>
      <c r="U7" s="602"/>
      <c r="V7" s="9"/>
      <c r="W7" s="9"/>
      <c r="X7" s="9"/>
      <c r="Y7" s="9"/>
      <c r="Z7" s="80"/>
      <c r="AA7" s="68"/>
      <c r="AB7" s="69"/>
      <c r="AC7" s="70"/>
      <c r="AD7" s="70"/>
      <c r="AE7" s="70"/>
      <c r="AF7" s="70"/>
      <c r="AG7" s="71"/>
      <c r="AH7" s="71"/>
      <c r="AI7" s="72"/>
      <c r="AJ7" s="601">
        <v>0</v>
      </c>
      <c r="AK7" s="70"/>
      <c r="AL7" s="70"/>
      <c r="AM7" s="70"/>
      <c r="AN7" s="70"/>
      <c r="AO7" s="73"/>
      <c r="AP7" s="74"/>
      <c r="AQ7" s="307"/>
      <c r="AR7" s="9"/>
      <c r="AS7" s="9"/>
      <c r="AT7" s="139"/>
      <c r="AU7" s="146" t="e">
        <f>VLOOKUP(H8,kombinace_6!$A3:$B100,2,0)</f>
        <v>#N/A</v>
      </c>
      <c r="AV7" s="140" t="e">
        <f>IF(AU7=2,"Široký",IF(AU7=1,"Úzký",IF(AU7=3,"kombo")))</f>
        <v>#N/A</v>
      </c>
    </row>
    <row r="8" spans="1:65" ht="45.6" customHeight="1">
      <c r="A8" s="61"/>
      <c r="B8" s="216" t="str">
        <f>'Translate&amp;Prices&amp;Logo'!$B$655</f>
        <v>Wypełnienie z siatki</v>
      </c>
      <c r="C8" s="217"/>
      <c r="D8" s="217"/>
      <c r="E8" s="218" t="str">
        <f>'Translate&amp;Prices&amp;Logo'!$B$174</f>
        <v>Rodzaj profilu</v>
      </c>
      <c r="F8" s="218"/>
      <c r="G8" s="223"/>
      <c r="H8" s="603"/>
      <c r="I8" s="603"/>
      <c r="J8" s="603"/>
      <c r="K8" s="603"/>
      <c r="L8" s="603"/>
      <c r="M8" s="603"/>
      <c r="N8" s="603"/>
      <c r="O8" s="603"/>
      <c r="P8" s="603"/>
      <c r="Q8" s="604"/>
      <c r="R8" s="225"/>
      <c r="S8" s="617" t="str">
        <f>IF(AU10&gt;0,'Translate&amp;Prices&amp;Logo'!B305,IF(OR(H8=kombinace_6!A64,H8=kombinace_6!A63),'Translate&amp;Prices&amp;Logo'!B582,IF(OR(H8='Translate&amp;Prices&amp;Logo'!B66,H8='Translate&amp;Prices&amp;Logo'!B67,H8='Translate&amp;Prices&amp;Logo'!B68,H8='Translate&amp;Prices&amp;Logo'!B69,H8='Translate&amp;Prices&amp;Logo'!B70),'Translate&amp;Prices&amp;Logo'!B676,"")))</f>
        <v/>
      </c>
      <c r="T8" s="618"/>
      <c r="U8" s="618"/>
      <c r="V8" s="618"/>
      <c r="W8" s="618"/>
      <c r="X8" s="618"/>
      <c r="Y8" s="619"/>
      <c r="Z8" s="80"/>
      <c r="AA8" s="76"/>
      <c r="AB8" s="9"/>
      <c r="AC8" s="600" t="str">
        <f>'Translate&amp;Prices&amp;Logo'!$B$244</f>
        <v>Odległość od lewej krawędzi</v>
      </c>
      <c r="AD8" s="600"/>
      <c r="AE8" s="600"/>
      <c r="AF8" s="600"/>
      <c r="AG8" s="600"/>
      <c r="AH8" s="9"/>
      <c r="AI8" s="60"/>
      <c r="AJ8" s="601"/>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608">
        <f>IFERROR(IF(AND(VLOOKUP(H8,kombinace_6!$A:$D,4,0)=1,kombinace_6!FC2=FALSE),'Translate&amp;Prices&amp;Logo'!$B$545,0),0)</f>
        <v>0</v>
      </c>
      <c r="C9" s="609"/>
      <c r="D9" s="609"/>
      <c r="E9" s="609"/>
      <c r="F9" s="609"/>
      <c r="G9" s="98"/>
      <c r="H9" s="588"/>
      <c r="I9" s="588"/>
      <c r="J9" s="588"/>
      <c r="K9" s="588"/>
      <c r="L9" s="588"/>
      <c r="M9" s="588"/>
      <c r="N9" s="588"/>
      <c r="O9" s="588"/>
      <c r="P9" s="588"/>
      <c r="Q9" s="589"/>
      <c r="R9" s="9"/>
      <c r="S9" s="611"/>
      <c r="T9" s="612"/>
      <c r="U9" s="612"/>
      <c r="V9" s="612"/>
      <c r="W9" s="612"/>
      <c r="X9" s="612"/>
      <c r="Y9" s="613"/>
      <c r="Z9" s="80"/>
      <c r="AA9" s="77"/>
      <c r="AB9" s="9"/>
      <c r="AC9" s="605">
        <v>0</v>
      </c>
      <c r="AD9" s="605"/>
      <c r="AE9" s="75"/>
      <c r="AF9" s="599" t="str">
        <f>('Translate&amp;Prices&amp;Logo'!$B$550)&amp;" "&amp;H26&amp;" "&amp;"mm"</f>
        <v>Rozstaw  mm</v>
      </c>
      <c r="AG9" s="599"/>
      <c r="AH9" s="599"/>
      <c r="AI9" s="599"/>
      <c r="AJ9" s="599"/>
      <c r="AK9" s="599"/>
      <c r="AL9" s="9"/>
      <c r="AM9" s="9"/>
      <c r="AN9" s="9"/>
      <c r="AO9" s="9"/>
      <c r="AP9" s="77"/>
      <c r="AQ9" s="307"/>
      <c r="AR9" s="9"/>
      <c r="AS9" s="9"/>
      <c r="AT9" s="139" t="e">
        <f>VLOOKUP(VLOOKUP(H8,'Translate&amp;Prices&amp;Logo'!B79:C84,2,0),'Translate&amp;Prices&amp;Logo'!B6:D60,3,0)</f>
        <v>#N/A</v>
      </c>
      <c r="AU9" s="146" t="str">
        <f>IFERROR((VLOOKUP(H12,kombinace_6!$DP$2:$DQ$3,2,0)),"")</f>
        <v/>
      </c>
      <c r="AV9" s="140"/>
    </row>
    <row r="10" spans="1:65" ht="18" customHeight="1">
      <c r="A10" s="61"/>
      <c r="B10" s="107"/>
      <c r="C10" s="99"/>
      <c r="D10" s="99"/>
      <c r="E10" s="99"/>
      <c r="F10" s="99"/>
      <c r="G10" s="99"/>
      <c r="H10" s="586"/>
      <c r="I10" s="586"/>
      <c r="J10" s="586"/>
      <c r="K10" s="586"/>
      <c r="L10" s="592"/>
      <c r="M10" s="586"/>
      <c r="N10" s="586"/>
      <c r="O10" s="586"/>
      <c r="P10" s="586"/>
      <c r="Q10" s="587"/>
      <c r="R10" s="61"/>
      <c r="S10" s="611">
        <f>IF(AU10&gt;0,'Translate&amp;Prices&amp;Logo'!B573,0)</f>
        <v>0</v>
      </c>
      <c r="T10" s="612"/>
      <c r="U10" s="612"/>
      <c r="V10" s="612"/>
      <c r="W10" s="612"/>
      <c r="X10" s="612"/>
      <c r="Y10" s="613"/>
      <c r="Z10" s="80"/>
      <c r="AA10" s="77"/>
      <c r="AB10" s="9"/>
      <c r="AC10" s="9"/>
      <c r="AD10" s="606">
        <v>0</v>
      </c>
      <c r="AE10" s="647" t="str">
        <f>'Translate&amp;Prices&amp;Logo'!$B$639</f>
        <v>Odległość od górnej krawędzi</v>
      </c>
      <c r="AF10" s="9"/>
      <c r="AG10" s="9"/>
      <c r="AH10" s="9"/>
      <c r="AI10" s="60"/>
      <c r="AJ10" s="61"/>
      <c r="AK10" s="9"/>
      <c r="AL10" s="9"/>
      <c r="AM10" s="9"/>
      <c r="AN10" s="9"/>
      <c r="AO10" s="9"/>
      <c r="AP10" s="77"/>
      <c r="AQ10" s="307"/>
      <c r="AR10" s="9"/>
      <c r="AS10" s="9"/>
      <c r="AT10" s="139" t="s">
        <v>1196</v>
      </c>
      <c r="AU10" s="140">
        <f>IFERROR(VLOOKUP(H9,kombinace_6!$BY$13:$BZ$15,2,0),0)</f>
        <v>0</v>
      </c>
      <c r="AV10" s="140"/>
    </row>
    <row r="11" spans="1:65" ht="18" customHeight="1">
      <c r="A11" s="61"/>
      <c r="B11" s="631" t="str">
        <f>('Translate&amp;Prices&amp;Logo'!$B$545)&amp;" "&amp;"("&amp;'Translate&amp;Prices&amp;Logo'!$B$176&amp;")"</f>
        <v>Szprosy (Ilość sztuk)</v>
      </c>
      <c r="C11" s="632"/>
      <c r="D11" s="632"/>
      <c r="E11" s="632"/>
      <c r="F11" s="632"/>
      <c r="G11" s="98"/>
      <c r="H11" s="590"/>
      <c r="I11" s="590"/>
      <c r="J11" s="590"/>
      <c r="K11" s="590"/>
      <c r="L11" s="591"/>
      <c r="M11" s="590"/>
      <c r="N11" s="590"/>
      <c r="O11" s="590"/>
      <c r="P11" s="590"/>
      <c r="Q11" s="607"/>
      <c r="R11" s="61"/>
      <c r="S11" s="611"/>
      <c r="T11" s="612"/>
      <c r="U11" s="612"/>
      <c r="V11" s="612"/>
      <c r="W11" s="612"/>
      <c r="X11" s="612"/>
      <c r="Y11" s="613"/>
      <c r="Z11" s="80"/>
      <c r="AA11" s="78"/>
      <c r="AB11" s="79"/>
      <c r="AC11" s="9"/>
      <c r="AD11" s="606"/>
      <c r="AE11" s="647"/>
      <c r="AF11" s="9"/>
      <c r="AG11" s="9"/>
      <c r="AH11" s="9"/>
      <c r="AI11" s="60"/>
      <c r="AJ11" s="61"/>
      <c r="AK11" s="9"/>
      <c r="AL11" s="9"/>
      <c r="AM11" s="9"/>
      <c r="AN11" s="9"/>
      <c r="AO11" s="80"/>
      <c r="AP11" s="74"/>
      <c r="AQ11" s="307"/>
      <c r="AR11" s="9"/>
      <c r="AS11" s="9"/>
      <c r="AT11" s="146">
        <f>IFERROR(IF(kombinace_6!$H$1=TRUE,BA2+AY3,0),0)</f>
        <v>0</v>
      </c>
      <c r="AU11" s="146"/>
      <c r="AV11" s="140"/>
    </row>
    <row r="12" spans="1:65" ht="18" customHeight="1">
      <c r="A12" s="61"/>
      <c r="B12" s="608" t="str">
        <f>'Translate&amp;Prices&amp;Logo'!$B$260</f>
        <v>Typ okucia</v>
      </c>
      <c r="C12" s="609"/>
      <c r="D12" s="609"/>
      <c r="E12" s="609"/>
      <c r="F12" s="609"/>
      <c r="G12" s="98"/>
      <c r="H12" s="588"/>
      <c r="I12" s="588"/>
      <c r="J12" s="588"/>
      <c r="K12" s="588"/>
      <c r="L12" s="588"/>
      <c r="M12" s="588"/>
      <c r="N12" s="588"/>
      <c r="O12" s="588"/>
      <c r="P12" s="588"/>
      <c r="Q12" s="589"/>
      <c r="R12" s="61"/>
      <c r="S12" s="611"/>
      <c r="T12" s="612"/>
      <c r="U12" s="612"/>
      <c r="V12" s="612"/>
      <c r="W12" s="612"/>
      <c r="X12" s="612"/>
      <c r="Y12" s="613"/>
      <c r="Z12" s="80"/>
      <c r="AA12" s="78"/>
      <c r="AB12" s="79"/>
      <c r="AC12" s="9"/>
      <c r="AD12" s="606"/>
      <c r="AE12" s="647"/>
      <c r="AF12" s="9"/>
      <c r="AG12" s="9"/>
      <c r="AH12" s="9"/>
      <c r="AI12" s="60"/>
      <c r="AJ12" s="61"/>
      <c r="AK12" s="9"/>
      <c r="AL12" s="9"/>
      <c r="AM12" s="9"/>
      <c r="AN12" s="9"/>
      <c r="AO12" s="80"/>
      <c r="AP12" s="74"/>
      <c r="AQ12" s="307"/>
      <c r="AR12" s="9"/>
      <c r="AS12" s="9"/>
      <c r="AT12" s="140"/>
      <c r="AU12" s="140"/>
      <c r="AV12" s="140"/>
    </row>
    <row r="13" spans="1:65" ht="18" customHeight="1" thickBot="1">
      <c r="A13" s="61"/>
      <c r="B13" s="608" t="str">
        <f>'Translate&amp;Prices&amp;Logo'!$B$546</f>
        <v>Marka okucia</v>
      </c>
      <c r="C13" s="609"/>
      <c r="D13" s="609"/>
      <c r="E13" s="609"/>
      <c r="F13" s="609"/>
      <c r="G13" s="98"/>
      <c r="H13" s="588"/>
      <c r="I13" s="588"/>
      <c r="J13" s="588"/>
      <c r="K13" s="588"/>
      <c r="L13" s="588"/>
      <c r="M13" s="588"/>
      <c r="N13" s="588"/>
      <c r="O13" s="588"/>
      <c r="P13" s="588"/>
      <c r="Q13" s="589"/>
      <c r="R13" s="61"/>
      <c r="S13" s="611">
        <f>IF(H13="Salice"," ",IF(H19&gt;=2,'Translate&amp;Prices&amp;Logo'!B577,0))</f>
        <v>0</v>
      </c>
      <c r="T13" s="612"/>
      <c r="U13" s="612"/>
      <c r="V13" s="612"/>
      <c r="W13" s="612"/>
      <c r="X13" s="612"/>
      <c r="Y13" s="613"/>
      <c r="Z13" s="80"/>
      <c r="AA13" s="78"/>
      <c r="AB13" s="79"/>
      <c r="AC13" s="9"/>
      <c r="AD13" s="75"/>
      <c r="AE13" s="647"/>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608">
        <f>IFERROR(IF(H12='Translate&amp;Prices&amp;Logo'!B553,'Translate&amp;Prices&amp;Logo'!$B$548,0),0)</f>
        <v>0</v>
      </c>
      <c r="C14" s="609"/>
      <c r="D14" s="609"/>
      <c r="E14" s="609"/>
      <c r="F14" s="609"/>
      <c r="G14" s="98"/>
      <c r="H14" s="588"/>
      <c r="I14" s="588"/>
      <c r="J14" s="588"/>
      <c r="K14" s="588"/>
      <c r="L14" s="588"/>
      <c r="M14" s="588"/>
      <c r="N14" s="588"/>
      <c r="O14" s="588"/>
      <c r="P14" s="588"/>
      <c r="Q14" s="589"/>
      <c r="R14" s="61"/>
      <c r="S14" s="611"/>
      <c r="T14" s="612"/>
      <c r="U14" s="612"/>
      <c r="V14" s="612"/>
      <c r="W14" s="612"/>
      <c r="X14" s="612"/>
      <c r="Y14" s="613"/>
      <c r="Z14" s="80"/>
      <c r="AA14" s="78"/>
      <c r="AB14" s="79"/>
      <c r="AC14" s="9"/>
      <c r="AD14" s="610" t="str">
        <f>('Translate&amp;Prices&amp;Logo'!$B$550)&amp;" "&amp;H26&amp;" "&amp;"mm"</f>
        <v>Rozstaw  mm</v>
      </c>
      <c r="AE14" s="647"/>
      <c r="AF14" s="9"/>
      <c r="AG14" s="9"/>
      <c r="AH14" s="9"/>
      <c r="AI14" s="60"/>
      <c r="AJ14" s="61"/>
      <c r="AK14" s="9"/>
      <c r="AL14" s="9"/>
      <c r="AM14" s="645" t="str">
        <f>('Translate&amp;Prices&amp;Logo'!$B$550)&amp;" "&amp;H26&amp;" "&amp;"mm"</f>
        <v>Rozstaw  mm</v>
      </c>
      <c r="AN14" s="9"/>
      <c r="AO14" s="81"/>
      <c r="AP14" s="74"/>
      <c r="AQ14" s="307"/>
      <c r="AR14" s="585"/>
      <c r="AS14" s="9"/>
      <c r="AT14" s="146"/>
      <c r="AU14" s="140"/>
      <c r="AV14" s="140"/>
      <c r="AW14" s="165" t="s">
        <v>2197</v>
      </c>
    </row>
    <row r="15" spans="1:65" ht="18" customHeight="1" thickBot="1">
      <c r="A15" s="61"/>
      <c r="B15" s="608" t="str">
        <f>'Translate&amp;Prices&amp;Logo'!$B$547</f>
        <v>Wariant okucia</v>
      </c>
      <c r="C15" s="609"/>
      <c r="D15" s="609"/>
      <c r="E15" s="609"/>
      <c r="F15" s="609"/>
      <c r="G15" s="98"/>
      <c r="H15" s="588"/>
      <c r="I15" s="588"/>
      <c r="J15" s="588"/>
      <c r="K15" s="588"/>
      <c r="L15" s="588"/>
      <c r="M15" s="588"/>
      <c r="N15" s="588"/>
      <c r="O15" s="588"/>
      <c r="P15" s="588"/>
      <c r="Q15" s="589"/>
      <c r="R15" s="61"/>
      <c r="S15" s="611"/>
      <c r="T15" s="612"/>
      <c r="U15" s="612"/>
      <c r="V15" s="612"/>
      <c r="W15" s="612"/>
      <c r="X15" s="612"/>
      <c r="Y15" s="613"/>
      <c r="Z15" s="80"/>
      <c r="AA15" s="78"/>
      <c r="AB15" s="82"/>
      <c r="AC15" s="9"/>
      <c r="AD15" s="610"/>
      <c r="AE15" s="647"/>
      <c r="AF15" s="9"/>
      <c r="AG15" s="9"/>
      <c r="AH15" s="9"/>
      <c r="AI15" s="60"/>
      <c r="AJ15" s="61"/>
      <c r="AK15" s="9"/>
      <c r="AL15" s="9"/>
      <c r="AM15" s="645"/>
      <c r="AN15" s="9"/>
      <c r="AO15" s="81"/>
      <c r="AP15" s="74"/>
      <c r="AQ15" s="307"/>
      <c r="AR15" s="585"/>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629" t="str">
        <f>IF(H15=kombinace_6!AB40,'Translate&amp;Prices&amp;Logo'!$B$226,IF(H15=kombinace_6!AB41,'Translate&amp;Prices&amp;Logo'!$B$226,IF(H12='závěsy dle výklopu'!BQ2,'Translate&amp;Prices&amp;Logo'!$B$224,'Translate&amp;Prices&amp;Logo'!$B$220)))</f>
        <v>Wybierz pozycję ramki</v>
      </c>
      <c r="C16" s="630"/>
      <c r="D16" s="630"/>
      <c r="E16" s="630"/>
      <c r="F16" s="628"/>
      <c r="G16" s="628"/>
      <c r="H16" s="628"/>
      <c r="I16" s="628"/>
      <c r="J16" s="624" t="str">
        <f>IF(OR(H15=kombinace_6!AB40,H15=kombinace_6!AB7,H15=kombinace_6!AB15,H15=kombinace_6!AB20,H15=kombinace_6!AB21,H15=kombinace_6!AB22),'Translate&amp;Prices&amp;Logo'!$B$228,IF(H15=kombinace_6!AB41,'Translate&amp;Prices&amp;Logo'!$B$228,'Translate&amp;Prices&amp;Logo'!$B$234))</f>
        <v>Rodzaj drugiej ramki</v>
      </c>
      <c r="K16" s="624"/>
      <c r="L16" s="624"/>
      <c r="M16" s="624"/>
      <c r="N16" s="622"/>
      <c r="O16" s="622"/>
      <c r="P16" s="622"/>
      <c r="Q16" s="623"/>
      <c r="R16" s="61"/>
      <c r="S16" s="611"/>
      <c r="T16" s="612"/>
      <c r="U16" s="612"/>
      <c r="V16" s="612"/>
      <c r="W16" s="612"/>
      <c r="X16" s="612"/>
      <c r="Y16" s="613"/>
      <c r="Z16" s="80"/>
      <c r="AA16" s="78"/>
      <c r="AB16" s="82"/>
      <c r="AC16" s="9"/>
      <c r="AD16" s="610"/>
      <c r="AE16" s="647"/>
      <c r="AF16" s="9"/>
      <c r="AG16" s="9"/>
      <c r="AH16" s="9"/>
      <c r="AI16" s="60"/>
      <c r="AJ16" s="61"/>
      <c r="AK16" s="9"/>
      <c r="AL16" s="9"/>
      <c r="AM16" s="645"/>
      <c r="AN16" s="9"/>
      <c r="AO16" s="81"/>
      <c r="AP16" s="74"/>
      <c r="AQ16" s="307"/>
      <c r="AR16" s="585"/>
      <c r="AS16" s="9"/>
      <c r="AT16" s="146"/>
      <c r="AU16" s="140">
        <f>(AI30/1000)/AU15</f>
        <v>0</v>
      </c>
      <c r="AV16" s="140">
        <f>(AR14/1000)/AV15</f>
        <v>0</v>
      </c>
      <c r="AW16" s="167">
        <f>(2*AU16)+(2*AV16)</f>
        <v>0</v>
      </c>
    </row>
    <row r="17" spans="1:52" ht="18" customHeight="1">
      <c r="A17" s="61"/>
      <c r="B17" s="608">
        <f>IF(H12='Translate&amp;Prices&amp;Logo'!B553,'Translate&amp;Prices&amp;Logo'!B240,IF(H15=kombinace_6!AB8,'Translate&amp;Prices&amp;Logo'!B286,0))</f>
        <v>0</v>
      </c>
      <c r="C17" s="609"/>
      <c r="D17" s="609"/>
      <c r="E17" s="609"/>
      <c r="F17" s="609"/>
      <c r="G17" s="98"/>
      <c r="H17" s="588"/>
      <c r="I17" s="588"/>
      <c r="J17" s="588"/>
      <c r="K17" s="588"/>
      <c r="L17" s="588"/>
      <c r="M17" s="588"/>
      <c r="N17" s="588"/>
      <c r="O17" s="588"/>
      <c r="P17" s="588"/>
      <c r="Q17" s="589"/>
      <c r="R17" s="61"/>
      <c r="S17" s="611"/>
      <c r="T17" s="612"/>
      <c r="U17" s="612"/>
      <c r="V17" s="612"/>
      <c r="W17" s="612"/>
      <c r="X17" s="612"/>
      <c r="Y17" s="613"/>
      <c r="Z17" s="80"/>
      <c r="AA17" s="78"/>
      <c r="AB17" s="82"/>
      <c r="AC17" s="9"/>
      <c r="AD17" s="610"/>
      <c r="AE17" s="9"/>
      <c r="AF17" s="9"/>
      <c r="AG17" s="9"/>
      <c r="AH17" s="9"/>
      <c r="AI17" s="60"/>
      <c r="AJ17" s="61"/>
      <c r="AK17" s="9"/>
      <c r="AL17" s="9"/>
      <c r="AM17" s="645"/>
      <c r="AN17" s="9"/>
      <c r="AO17" s="81"/>
      <c r="AP17" s="74"/>
      <c r="AQ17" s="307"/>
      <c r="AR17" s="585"/>
      <c r="AS17" s="9"/>
      <c r="AT17" s="146">
        <f>IF(AU10=1,BD3*'Translate&amp;Prices&amp;Logo'!C51,IF(AU10=2,BI3*'Translate&amp;Prices&amp;Logo'!C51,IF(AU10=3,(BD3+BI3)*'Translate&amp;Prices&amp;Logo'!C51,IF(AU10=0,0))))</f>
        <v>0</v>
      </c>
      <c r="AU17" s="140" t="e">
        <f>IF(H13&lt;&gt;"Salice",AU23,0)</f>
        <v>#N/A</v>
      </c>
      <c r="AV17" s="140">
        <f>IF(H13="Salice",VLOOKUP(H17,kombinace_6!$BY:$BZ,2,0),0)</f>
        <v>0</v>
      </c>
    </row>
    <row r="18" spans="1:52" ht="18" customHeight="1">
      <c r="A18" s="61"/>
      <c r="B18" s="608">
        <f>IFERROR(IF(VLOOKUP(H15,kombinace_6!CD:CE,2,0)=1,'Translate&amp;Prices&amp;Logo'!$B$549,0),0)</f>
        <v>0</v>
      </c>
      <c r="C18" s="609"/>
      <c r="D18" s="609"/>
      <c r="E18" s="609"/>
      <c r="F18" s="609"/>
      <c r="G18" s="98"/>
      <c r="H18" s="588"/>
      <c r="I18" s="588"/>
      <c r="J18" s="588"/>
      <c r="K18" s="588"/>
      <c r="L18" s="588"/>
      <c r="M18" s="588"/>
      <c r="N18" s="588"/>
      <c r="O18" s="588"/>
      <c r="P18" s="588"/>
      <c r="Q18" s="589"/>
      <c r="R18" s="61"/>
      <c r="S18" s="611">
        <f>IFERROR((IF(AND(AU7=2,H27&gt;""),'Translate&amp;Prices&amp;Logo'!$B$578,IF(AND(AU7=1,H27&gt;""),'Translate&amp;Prices&amp;Logo'!$B$628,IF(AND(AU7=3,H27&gt;""),'Translate&amp;Prices&amp;Logo'!$B$628,0)))),0)</f>
        <v>0</v>
      </c>
      <c r="T18" s="612"/>
      <c r="U18" s="612"/>
      <c r="V18" s="612"/>
      <c r="W18" s="612"/>
      <c r="X18" s="612"/>
      <c r="Y18" s="613"/>
      <c r="Z18" s="80"/>
      <c r="AA18" s="78"/>
      <c r="AB18" s="82"/>
      <c r="AC18" s="9"/>
      <c r="AD18" s="610"/>
      <c r="AE18" s="9"/>
      <c r="AF18" s="9"/>
      <c r="AG18" s="9"/>
      <c r="AH18" s="9"/>
      <c r="AI18" s="60"/>
      <c r="AJ18" s="61"/>
      <c r="AK18" s="9"/>
      <c r="AL18" s="9"/>
      <c r="AM18" s="645"/>
      <c r="AN18" s="9"/>
      <c r="AO18" s="81"/>
      <c r="AP18" s="74"/>
      <c r="AQ18" s="307"/>
      <c r="AR18" s="585"/>
      <c r="AS18" s="9"/>
      <c r="AT18" s="146"/>
      <c r="AU18" s="140"/>
      <c r="AV18" s="140"/>
    </row>
    <row r="19" spans="1:52" ht="18" customHeight="1">
      <c r="A19" s="61"/>
      <c r="B19" s="608">
        <f>IFERROR(IF(H12='Translate&amp;Prices&amp;Logo'!B553,'Translate&amp;Prices&amp;Logo'!$B$225,IF(VLOOKUP(H15,kombinace_6!CD:CE,2,0)=1,'Translate&amp;Prices&amp;Logo'!$B$225,)),0)</f>
        <v>0</v>
      </c>
      <c r="C19" s="609"/>
      <c r="D19" s="609"/>
      <c r="E19" s="609"/>
      <c r="F19" s="609"/>
      <c r="G19" s="98"/>
      <c r="H19" s="588"/>
      <c r="I19" s="588"/>
      <c r="J19" s="588"/>
      <c r="K19" s="588"/>
      <c r="L19" s="588"/>
      <c r="M19" s="588"/>
      <c r="N19" s="588"/>
      <c r="O19" s="588"/>
      <c r="P19" s="588"/>
      <c r="Q19" s="589"/>
      <c r="R19" s="61"/>
      <c r="S19" s="611"/>
      <c r="T19" s="612"/>
      <c r="U19" s="612"/>
      <c r="V19" s="612"/>
      <c r="W19" s="612"/>
      <c r="X19" s="612"/>
      <c r="Y19" s="613"/>
      <c r="Z19" s="80"/>
      <c r="AA19" s="77"/>
      <c r="AB19" s="584">
        <v>0</v>
      </c>
      <c r="AC19" s="584"/>
      <c r="AD19" s="610"/>
      <c r="AE19" s="9"/>
      <c r="AF19" s="9"/>
      <c r="AG19" s="9"/>
      <c r="AH19" s="9"/>
      <c r="AI19" s="157"/>
      <c r="AJ19" s="61"/>
      <c r="AK19" s="9"/>
      <c r="AL19" s="644" t="str">
        <f>'Translate&amp;Prices&amp;Logo'!$B$638</f>
        <v>Odległość od dolnej krawędzi</v>
      </c>
      <c r="AM19" s="645"/>
      <c r="AN19" s="584">
        <v>0</v>
      </c>
      <c r="AO19" s="584"/>
      <c r="AP19" s="76"/>
      <c r="AQ19" s="307"/>
      <c r="AR19" s="583" t="str">
        <f>'Translate&amp;Prices&amp;Logo'!$B$178</f>
        <v>Wysokość</v>
      </c>
      <c r="AS19" s="9"/>
      <c r="AT19" s="146"/>
      <c r="AU19" s="138">
        <f>IFERROR(IF(H12='závěsy dle výklopu'!BR2,VLOOKUP(H15,kombinace_6!$CD$3:$CF$18,3,0),IF(H12='závěsy dle výklopu'!BQ2,1,0)),0)</f>
        <v>0</v>
      </c>
      <c r="AV19" s="140">
        <f>IFERROR(VLOOKUP(H15,kombinace_6!$CD:$CF,3,0),0)</f>
        <v>0</v>
      </c>
    </row>
    <row r="20" spans="1:52" ht="18" customHeight="1">
      <c r="A20" s="61"/>
      <c r="B20" s="633">
        <f>IF(H13&lt;&gt;"Salice",(IFERROR(VLOOKUP(H17,kombinace_6!$BY$32:$CA$35,2,0),0)),0)</f>
        <v>0</v>
      </c>
      <c r="C20" s="634"/>
      <c r="D20" s="634"/>
      <c r="E20" s="634"/>
      <c r="F20" s="620">
        <v>100</v>
      </c>
      <c r="G20" s="620"/>
      <c r="H20" s="620"/>
      <c r="I20" s="620"/>
      <c r="J20" s="634">
        <f>IFERROR(VLOOKUP(H17,kombinace_6!$BY$32:$CA$35,3,0),0)</f>
        <v>0</v>
      </c>
      <c r="K20" s="634"/>
      <c r="L20" s="634"/>
      <c r="M20" s="634"/>
      <c r="N20" s="620">
        <v>100</v>
      </c>
      <c r="O20" s="620"/>
      <c r="P20" s="620"/>
      <c r="Q20" s="621"/>
      <c r="R20" s="61"/>
      <c r="S20" s="611"/>
      <c r="T20" s="612"/>
      <c r="U20" s="612"/>
      <c r="V20" s="612"/>
      <c r="W20" s="612"/>
      <c r="X20" s="612"/>
      <c r="Y20" s="613"/>
      <c r="Z20" s="80"/>
      <c r="AA20" s="78"/>
      <c r="AB20" s="79"/>
      <c r="AC20" s="9"/>
      <c r="AD20" s="610"/>
      <c r="AE20" s="9"/>
      <c r="AF20" s="9"/>
      <c r="AG20" s="9"/>
      <c r="AH20" s="9"/>
      <c r="AI20" s="60"/>
      <c r="AJ20" s="61"/>
      <c r="AK20" s="9"/>
      <c r="AL20" s="644"/>
      <c r="AM20" s="645"/>
      <c r="AN20" s="9"/>
      <c r="AO20" s="81"/>
      <c r="AP20" s="74"/>
      <c r="AQ20" s="307"/>
      <c r="AR20" s="583"/>
      <c r="AS20" s="9"/>
      <c r="AT20" s="146"/>
      <c r="AU20" s="140"/>
      <c r="AV20" s="140"/>
    </row>
    <row r="21" spans="1:52" ht="18" customHeight="1">
      <c r="A21" s="61"/>
      <c r="B21" s="608" t="str">
        <f>IF(kombinace_6!FC2=FALSE,'Translate&amp;Prices&amp;Logo'!$B$175," ")</f>
        <v>Rodzaj szkła</v>
      </c>
      <c r="C21" s="609"/>
      <c r="D21" s="609"/>
      <c r="E21" s="609"/>
      <c r="F21" s="609"/>
      <c r="G21" s="98"/>
      <c r="H21" s="588"/>
      <c r="I21" s="588"/>
      <c r="J21" s="588"/>
      <c r="K21" s="588"/>
      <c r="L21" s="588"/>
      <c r="M21" s="588"/>
      <c r="N21" s="588"/>
      <c r="O21" s="588"/>
      <c r="P21" s="588"/>
      <c r="Q21" s="589"/>
      <c r="R21" s="61"/>
      <c r="S21" s="611"/>
      <c r="T21" s="612"/>
      <c r="U21" s="612"/>
      <c r="V21" s="612"/>
      <c r="W21" s="612"/>
      <c r="X21" s="612"/>
      <c r="Y21" s="613"/>
      <c r="Z21" s="80"/>
      <c r="AA21" s="78"/>
      <c r="AB21" s="79"/>
      <c r="AC21" s="9"/>
      <c r="AD21" s="610"/>
      <c r="AE21" s="9"/>
      <c r="AF21" s="9"/>
      <c r="AG21" s="9"/>
      <c r="AH21" s="9"/>
      <c r="AI21" s="60"/>
      <c r="AJ21" s="61"/>
      <c r="AK21" s="9"/>
      <c r="AL21" s="644"/>
      <c r="AM21" s="645"/>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611"/>
      <c r="T22" s="612"/>
      <c r="U22" s="612"/>
      <c r="V22" s="612"/>
      <c r="W22" s="612"/>
      <c r="X22" s="612"/>
      <c r="Y22" s="613"/>
      <c r="Z22" s="80"/>
      <c r="AA22" s="78"/>
      <c r="AB22" s="79"/>
      <c r="AC22" s="9"/>
      <c r="AD22" s="9"/>
      <c r="AE22" s="9"/>
      <c r="AF22" s="9"/>
      <c r="AG22" s="9"/>
      <c r="AH22" s="9"/>
      <c r="AI22" s="60"/>
      <c r="AJ22" s="61"/>
      <c r="AK22" s="9"/>
      <c r="AL22" s="644"/>
      <c r="AM22" s="75"/>
      <c r="AN22" s="9"/>
      <c r="AO22" s="80"/>
      <c r="AP22" s="74"/>
      <c r="AQ22" s="307"/>
      <c r="AR22" s="583"/>
      <c r="AS22" s="9"/>
      <c r="AT22" s="146"/>
      <c r="AU22" s="140"/>
      <c r="AV22" s="140"/>
    </row>
    <row r="23" spans="1:52" ht="18" customHeight="1">
      <c r="A23" s="61"/>
      <c r="B23" s="219"/>
      <c r="C23" s="220"/>
      <c r="D23" s="220"/>
      <c r="E23" s="220"/>
      <c r="F23" s="220"/>
      <c r="G23" s="99"/>
      <c r="H23" s="556" t="str">
        <f>"↥↥  "&amp;'Translate&amp;Prices&amp;Logo'!$B$575&amp;"  ↥↥"</f>
        <v>↥↥  Nie zmieniaj po wybraniu rodzaj szkła/siatka  ↥↥</v>
      </c>
      <c r="I23" s="556"/>
      <c r="J23" s="556"/>
      <c r="K23" s="556"/>
      <c r="L23" s="556"/>
      <c r="M23" s="556"/>
      <c r="N23" s="556"/>
      <c r="O23" s="556"/>
      <c r="P23" s="556"/>
      <c r="Q23" s="646"/>
      <c r="R23" s="61"/>
      <c r="S23" s="614"/>
      <c r="T23" s="615"/>
      <c r="U23" s="615"/>
      <c r="V23" s="615"/>
      <c r="W23" s="615"/>
      <c r="X23" s="615"/>
      <c r="Y23" s="616"/>
      <c r="Z23" s="80"/>
      <c r="AA23" s="78"/>
      <c r="AB23" s="79"/>
      <c r="AC23" s="9"/>
      <c r="AD23" s="9"/>
      <c r="AE23" s="9"/>
      <c r="AF23" s="9"/>
      <c r="AG23" s="9"/>
      <c r="AH23" s="9"/>
      <c r="AI23" s="60"/>
      <c r="AJ23" s="61"/>
      <c r="AK23" s="9"/>
      <c r="AL23" s="644"/>
      <c r="AM23" s="601">
        <v>0</v>
      </c>
      <c r="AN23" s="9"/>
      <c r="AO23" s="80"/>
      <c r="AP23" s="74"/>
      <c r="AQ23" s="307"/>
      <c r="AR23" s="583"/>
      <c r="AS23" s="9"/>
      <c r="AT23" s="146"/>
      <c r="AU23" s="140" t="e">
        <f>VLOOKUP(H17,kombinace_6!$BY$3:$BZ$6,2,0)</f>
        <v>#N/A</v>
      </c>
      <c r="AV23" s="140"/>
    </row>
    <row r="24" spans="1:52" ht="18" customHeight="1">
      <c r="A24" s="61"/>
      <c r="B24" s="669" t="str">
        <f>'Translate&amp;Prices&amp;Logo'!$B$564</f>
        <v>Rodzaj folii</v>
      </c>
      <c r="C24" s="670"/>
      <c r="D24" s="670"/>
      <c r="E24" s="670"/>
      <c r="F24" s="670"/>
      <c r="G24" s="98"/>
      <c r="H24" s="590"/>
      <c r="I24" s="590"/>
      <c r="J24" s="590"/>
      <c r="K24" s="590"/>
      <c r="L24" s="590"/>
      <c r="M24" s="590"/>
      <c r="N24" s="590"/>
      <c r="O24" s="590"/>
      <c r="P24" s="590"/>
      <c r="Q24" s="607"/>
      <c r="R24" s="61"/>
      <c r="S24" s="602" t="str">
        <f>'Translate&amp;Prices&amp;Logo'!$B$179</f>
        <v>Uwagi (notatki)</v>
      </c>
      <c r="T24" s="602"/>
      <c r="U24" s="602"/>
      <c r="Z24" s="80"/>
      <c r="AA24" s="78"/>
      <c r="AB24" s="79"/>
      <c r="AC24" s="600" t="str">
        <f>'Translate&amp;Prices&amp;Logo'!$B$244</f>
        <v>Odległość od lewej krawędzi</v>
      </c>
      <c r="AD24" s="600"/>
      <c r="AE24" s="600"/>
      <c r="AF24" s="600"/>
      <c r="AG24" s="600"/>
      <c r="AH24" s="9"/>
      <c r="AI24" s="60"/>
      <c r="AJ24" s="61"/>
      <c r="AK24" s="9"/>
      <c r="AL24" s="644"/>
      <c r="AM24" s="601"/>
      <c r="AN24" s="9"/>
      <c r="AO24" s="80"/>
      <c r="AP24" s="83"/>
      <c r="AQ24" s="307"/>
      <c r="AR24" s="9"/>
      <c r="AS24" s="317">
        <f>IF(H28&gt;0,AR14,0)</f>
        <v>0</v>
      </c>
      <c r="AT24" s="146"/>
      <c r="AU24" s="140" t="e">
        <f>CONCATENATE(AU23,"_",H19)</f>
        <v>#N/A</v>
      </c>
      <c r="AV24" s="140"/>
      <c r="AW24" s="112">
        <f>IF(AI30&gt;=2600,1.3,IF(AR14&gt;=2600,1.3,1))</f>
        <v>1</v>
      </c>
    </row>
    <row r="25" spans="1:52" ht="18" customHeight="1">
      <c r="A25" s="61"/>
      <c r="B25" s="608" t="str">
        <f>'Translate&amp;Prices&amp;Logo'!$B$627</f>
        <v>Rodzaj szkła/siatka</v>
      </c>
      <c r="C25" s="609"/>
      <c r="D25" s="609"/>
      <c r="E25" s="609"/>
      <c r="F25" s="609"/>
      <c r="G25" s="98"/>
      <c r="H25" s="588"/>
      <c r="I25" s="588"/>
      <c r="J25" s="588"/>
      <c r="K25" s="588"/>
      <c r="L25" s="588"/>
      <c r="M25" s="588"/>
      <c r="N25" s="588"/>
      <c r="O25" s="588"/>
      <c r="P25" s="588"/>
      <c r="Q25" s="589"/>
      <c r="R25" s="61"/>
      <c r="S25" s="649"/>
      <c r="T25" s="650"/>
      <c r="U25" s="650"/>
      <c r="V25" s="650"/>
      <c r="W25" s="650"/>
      <c r="X25" s="650"/>
      <c r="Y25" s="651"/>
      <c r="Z25" s="80"/>
      <c r="AA25" s="78"/>
      <c r="AB25" s="79"/>
      <c r="AC25" s="584">
        <v>0</v>
      </c>
      <c r="AD25" s="584"/>
      <c r="AE25" s="75"/>
      <c r="AF25" s="599" t="str">
        <f>('Translate&amp;Prices&amp;Logo'!$B$550)&amp;" "&amp;H26&amp;" "&amp;"mm"</f>
        <v>Rozstaw  mm</v>
      </c>
      <c r="AG25" s="599"/>
      <c r="AH25" s="599"/>
      <c r="AI25" s="599"/>
      <c r="AJ25" s="599"/>
      <c r="AK25" s="599"/>
      <c r="AL25" s="644"/>
      <c r="AM25" s="601"/>
      <c r="AN25" s="9"/>
      <c r="AO25" s="80"/>
      <c r="AP25" s="83"/>
      <c r="AQ25" s="307"/>
      <c r="AR25" s="9"/>
      <c r="AS25" s="9"/>
      <c r="AT25" s="146"/>
      <c r="AU25" s="140" t="e">
        <f>VLOOKUP(H27,kombinace_6!$BY3:$BZ6,2,0)</f>
        <v>#N/A</v>
      </c>
      <c r="AV25" s="140"/>
    </row>
    <row r="26" spans="1:52" ht="18" customHeight="1">
      <c r="A26" s="61"/>
      <c r="B26" s="608" t="str">
        <f>'Translate&amp;Prices&amp;Logo'!$B$551</f>
        <v>Rozstaw uchwytu (mm)</v>
      </c>
      <c r="C26" s="609"/>
      <c r="D26" s="609"/>
      <c r="E26" s="609"/>
      <c r="F26" s="609"/>
      <c r="G26" s="98"/>
      <c r="H26" s="640"/>
      <c r="I26" s="640"/>
      <c r="J26" s="640"/>
      <c r="K26" s="640"/>
      <c r="L26" s="640"/>
      <c r="M26" s="640"/>
      <c r="N26" s="640"/>
      <c r="O26" s="640"/>
      <c r="P26" s="640"/>
      <c r="Q26" s="641"/>
      <c r="R26" s="61"/>
      <c r="S26" s="652"/>
      <c r="T26" s="653"/>
      <c r="U26" s="653"/>
      <c r="V26" s="653"/>
      <c r="W26" s="653"/>
      <c r="X26" s="653"/>
      <c r="Y26" s="654"/>
      <c r="Z26" s="80"/>
      <c r="AA26" s="78"/>
      <c r="AB26" s="79"/>
      <c r="AC26" s="9"/>
      <c r="AD26" s="9"/>
      <c r="AE26" s="9"/>
      <c r="AF26" s="9"/>
      <c r="AG26" s="9"/>
      <c r="AH26" s="9"/>
      <c r="AI26" s="60"/>
      <c r="AJ26" s="606">
        <v>0</v>
      </c>
      <c r="AK26" s="9"/>
      <c r="AL26" s="9"/>
      <c r="AM26" s="9"/>
      <c r="AN26" s="9"/>
      <c r="AO26" s="80"/>
      <c r="AP26" s="74"/>
      <c r="AQ26" s="307"/>
      <c r="AR26" s="9"/>
      <c r="AS26" s="9"/>
      <c r="AT26" s="146"/>
    </row>
    <row r="27" spans="1:52" ht="18" customHeight="1">
      <c r="A27" s="61"/>
      <c r="B27" s="608" t="str">
        <f>'Translate&amp;Prices&amp;Logo'!$B$552</f>
        <v>Umieszczenie uchwytu</v>
      </c>
      <c r="C27" s="609"/>
      <c r="D27" s="609"/>
      <c r="E27" s="609"/>
      <c r="F27" s="609"/>
      <c r="G27" s="98"/>
      <c r="H27" s="588"/>
      <c r="I27" s="588"/>
      <c r="J27" s="588"/>
      <c r="K27" s="588"/>
      <c r="L27" s="588"/>
      <c r="M27" s="588"/>
      <c r="N27" s="588"/>
      <c r="O27" s="588"/>
      <c r="P27" s="588"/>
      <c r="Q27" s="589"/>
      <c r="R27" s="61"/>
      <c r="S27" s="652"/>
      <c r="T27" s="653"/>
      <c r="U27" s="653"/>
      <c r="V27" s="653"/>
      <c r="W27" s="653"/>
      <c r="X27" s="653"/>
      <c r="Y27" s="654"/>
      <c r="Z27" s="80"/>
      <c r="AA27" s="68"/>
      <c r="AB27" s="84"/>
      <c r="AC27" s="85"/>
      <c r="AD27" s="85"/>
      <c r="AE27" s="85"/>
      <c r="AF27" s="85"/>
      <c r="AG27" s="85"/>
      <c r="AH27" s="86"/>
      <c r="AI27" s="87"/>
      <c r="AJ27" s="606"/>
      <c r="AK27" s="85"/>
      <c r="AL27" s="85"/>
      <c r="AM27" s="85"/>
      <c r="AN27" s="85"/>
      <c r="AO27" s="88"/>
      <c r="AP27" s="74"/>
      <c r="AQ27" s="307"/>
      <c r="AR27" s="9"/>
      <c r="AS27" s="9"/>
      <c r="AT27" s="146"/>
    </row>
    <row r="28" spans="1:52" ht="18" customHeight="1">
      <c r="A28" s="61"/>
      <c r="B28" s="666" t="str">
        <f>('Translate&amp;Prices&amp;Logo'!$B$176)</f>
        <v>Ilość sztuk</v>
      </c>
      <c r="C28" s="667"/>
      <c r="D28" s="667"/>
      <c r="E28" s="667"/>
      <c r="F28" s="667"/>
      <c r="G28" s="98"/>
      <c r="H28" s="626"/>
      <c r="I28" s="626"/>
      <c r="J28" s="626"/>
      <c r="K28" s="626"/>
      <c r="L28" s="626"/>
      <c r="M28" s="626"/>
      <c r="N28" s="626"/>
      <c r="O28" s="626"/>
      <c r="P28" s="626"/>
      <c r="Q28" s="627"/>
      <c r="R28" s="61"/>
      <c r="S28" s="652"/>
      <c r="T28" s="653"/>
      <c r="U28" s="653"/>
      <c r="V28" s="653"/>
      <c r="W28" s="653"/>
      <c r="X28" s="653"/>
      <c r="Y28" s="654"/>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674" t="str">
        <f>IF(Hlavní!$V$39=3,"",'Translate&amp;Prices&amp;Logo'!$B$227&amp;" -&gt; "&amp; 'Translate&amp;Prices&amp;Logo'!B243&amp;":")</f>
        <v/>
      </c>
      <c r="E29" s="674"/>
      <c r="F29" s="674"/>
      <c r="G29" s="674"/>
      <c r="H29" s="674"/>
      <c r="I29" s="674"/>
      <c r="J29" s="674"/>
      <c r="K29" s="674"/>
      <c r="L29" s="674"/>
      <c r="M29" s="674"/>
      <c r="N29" s="674"/>
      <c r="O29" s="674"/>
      <c r="P29" s="672"/>
      <c r="Q29" s="673"/>
      <c r="R29" s="61"/>
      <c r="S29" s="652"/>
      <c r="T29" s="653"/>
      <c r="U29" s="653"/>
      <c r="V29" s="653"/>
      <c r="W29" s="653"/>
      <c r="X29" s="653"/>
      <c r="Y29" s="654"/>
      <c r="Z29" s="9"/>
      <c r="AA29" s="113" t="e">
        <f>VLOOKUP(H14,kombinace_6!$DN$7:$DO$24,2,0)</f>
        <v>#N/A</v>
      </c>
      <c r="AB29" s="643">
        <f>IF(kombinace_6!FC2=TRUE,AB4,IF(H12='závěsy dle výklopu'!BQ2,'Translate&amp;Prices&amp;Logo'!B579,0))</f>
        <v>0</v>
      </c>
      <c r="AC29" s="643"/>
      <c r="AD29" s="643"/>
      <c r="AE29" s="643"/>
      <c r="AF29" s="643"/>
      <c r="AG29" s="643"/>
      <c r="AH29" s="643"/>
      <c r="AI29" s="643"/>
      <c r="AJ29" s="643"/>
      <c r="AK29" s="643"/>
      <c r="AL29" s="643"/>
      <c r="AM29" s="643"/>
      <c r="AN29" s="643"/>
      <c r="AO29" s="643"/>
      <c r="AP29" s="113"/>
      <c r="AQ29" s="9"/>
      <c r="AR29" s="9"/>
      <c r="AS29" s="9"/>
      <c r="AT29" s="146"/>
    </row>
    <row r="30" spans="1:52" ht="23.25" customHeight="1">
      <c r="A30" s="61"/>
      <c r="B30" s="662" t="str">
        <f>'Translate&amp;Prices&amp;Logo'!$B$180</f>
        <v>Cena ramek</v>
      </c>
      <c r="C30" s="663"/>
      <c r="D30" s="663"/>
      <c r="E30" s="663"/>
      <c r="F30" s="663"/>
      <c r="G30" s="663"/>
      <c r="H30" s="663"/>
      <c r="I30" s="663"/>
      <c r="J30" s="663"/>
      <c r="K30" s="539"/>
      <c r="L30" s="638">
        <f>IF(OR((AI30&gt;AI43),(AR14&gt;AJ43)),"",((((AT11+AT13+AT15+AT17+AT33+AQ35+AT37)*AT43)*(1-(Zakaznik!K21/100)))*AW24))</f>
        <v>0</v>
      </c>
      <c r="M30" s="638"/>
      <c r="N30" s="638"/>
      <c r="O30" s="638"/>
      <c r="P30" s="658" t="str">
        <f>VLOOKUP('Translate&amp;Prices&amp;Logo'!D1,'závěsy dle výklopu'!A204:B209,2,0)</f>
        <v>zl</v>
      </c>
      <c r="Q30" s="659"/>
      <c r="R30" s="61"/>
      <c r="S30" s="652"/>
      <c r="T30" s="653"/>
      <c r="U30" s="653"/>
      <c r="V30" s="653"/>
      <c r="W30" s="653"/>
      <c r="X30" s="653"/>
      <c r="Y30" s="654"/>
      <c r="Z30" s="9"/>
      <c r="AA30" s="9"/>
      <c r="AB30" s="61"/>
      <c r="AC30" s="9"/>
      <c r="AD30" s="9"/>
      <c r="AE30" s="9"/>
      <c r="AF30" s="642" t="str">
        <f>'Translate&amp;Prices&amp;Logo'!$B$177</f>
        <v>Szerokość</v>
      </c>
      <c r="AG30" s="642"/>
      <c r="AH30" s="642"/>
      <c r="AI30" s="637"/>
      <c r="AJ30" s="637"/>
      <c r="AK30" s="637"/>
      <c r="AL30" s="9"/>
      <c r="AM30" s="9"/>
      <c r="AN30" s="9"/>
      <c r="AO30" s="9"/>
      <c r="AP30" s="9"/>
      <c r="AQ30" s="9"/>
      <c r="AR30" s="9"/>
      <c r="AS30" s="9"/>
      <c r="AT30" s="146"/>
      <c r="AU30" s="138" t="e">
        <f>HLOOKUP("_Úzký_dolny_K12",kombinace_6!CV2:CW19,3,FALSE)</f>
        <v>#N/A</v>
      </c>
    </row>
    <row r="31" spans="1:52" ht="14.1" customHeight="1" thickBot="1">
      <c r="A31" s="61"/>
      <c r="B31" s="664"/>
      <c r="C31" s="665"/>
      <c r="D31" s="665"/>
      <c r="E31" s="665"/>
      <c r="F31" s="665"/>
      <c r="G31" s="665"/>
      <c r="H31" s="665"/>
      <c r="I31" s="665"/>
      <c r="J31" s="665"/>
      <c r="K31" s="668"/>
      <c r="L31" s="639"/>
      <c r="M31" s="639"/>
      <c r="N31" s="639"/>
      <c r="O31" s="639"/>
      <c r="P31" s="660"/>
      <c r="Q31" s="661"/>
      <c r="R31" s="61"/>
      <c r="S31" s="655"/>
      <c r="T31" s="656"/>
      <c r="U31" s="656"/>
      <c r="V31" s="656"/>
      <c r="W31" s="656"/>
      <c r="X31" s="656"/>
      <c r="Y31" s="657"/>
      <c r="Z31" s="9"/>
      <c r="AA31" s="103"/>
      <c r="AB31" s="94"/>
      <c r="AC31" s="94"/>
      <c r="AD31" s="103"/>
      <c r="AE31" s="103"/>
      <c r="AF31" s="103"/>
      <c r="AG31" s="103"/>
      <c r="AH31" s="103"/>
      <c r="AI31" s="279"/>
      <c r="AJ31" s="103"/>
      <c r="AK31" s="103"/>
      <c r="AL31" s="103"/>
      <c r="AM31" s="103"/>
      <c r="AN31" s="103"/>
      <c r="AO31" s="512" t="str">
        <f>'Translate&amp;Prices&amp;Logo'!$B$569</f>
        <v>Podsumowanie</v>
      </c>
      <c r="AP31" s="512"/>
      <c r="AQ31" s="512"/>
      <c r="AR31" s="512"/>
      <c r="AS31" s="9"/>
      <c r="AT31" s="146"/>
      <c r="AU31" s="138" t="e">
        <f>AD44</f>
        <v>#N/A</v>
      </c>
    </row>
    <row r="32" spans="1:52" ht="17.25" customHeight="1">
      <c r="A32" s="61"/>
      <c r="B32" s="625" t="str">
        <f>'Translate&amp;Prices&amp;Logo'!$B$173</f>
        <v>Podane ceny nie zawierają podatku VAT ani nie zawierają ceny okuć!</v>
      </c>
      <c r="C32" s="625"/>
      <c r="D32" s="625"/>
      <c r="E32" s="625"/>
      <c r="F32" s="625"/>
      <c r="G32" s="625"/>
      <c r="H32" s="625"/>
      <c r="I32" s="625"/>
      <c r="J32" s="625"/>
      <c r="K32" s="625"/>
      <c r="L32" s="625"/>
      <c r="M32" s="625"/>
      <c r="N32" s="625"/>
      <c r="O32" s="625"/>
      <c r="P32" s="625"/>
      <c r="Q32" s="625"/>
      <c r="R32" s="61"/>
      <c r="S32" s="9"/>
      <c r="T32" s="9"/>
      <c r="U32" s="9"/>
      <c r="V32" s="9"/>
      <c r="W32" s="9"/>
      <c r="X32" s="9"/>
      <c r="Y32" s="9"/>
      <c r="Z32" s="9"/>
      <c r="AA32" s="9"/>
      <c r="AB32" s="61"/>
      <c r="AC32" s="9"/>
      <c r="AD32" s="9"/>
      <c r="AE32" s="9"/>
      <c r="AF32" s="9"/>
      <c r="AG32" s="9"/>
      <c r="AH32" s="9"/>
      <c r="AI32" s="9"/>
      <c r="AJ32" s="9"/>
      <c r="AK32" s="9"/>
      <c r="AL32" s="9"/>
      <c r="AM32" s="9"/>
      <c r="AN32" s="9"/>
      <c r="AO32" s="512"/>
      <c r="AP32" s="512"/>
      <c r="AQ32" s="512"/>
      <c r="AR32" s="512"/>
      <c r="AS32" s="61"/>
      <c r="AT32" s="146"/>
    </row>
    <row r="33" spans="1:58" ht="34.5" customHeight="1">
      <c r="A33" s="61"/>
      <c r="B33" s="648" t="str">
        <f>'Translate&amp;Prices&amp;Logo'!$B$643</f>
        <v xml:space="preserve">Ramki aluminiowe bez szkła dostarczane są w stanie rozmontowanym. </v>
      </c>
      <c r="C33" s="648"/>
      <c r="D33" s="648"/>
      <c r="E33" s="648"/>
      <c r="F33" s="648"/>
      <c r="G33" s="648"/>
      <c r="H33" s="648"/>
      <c r="I33" s="648"/>
      <c r="J33" s="648"/>
      <c r="K33" s="648"/>
      <c r="L33" s="648" t="str">
        <f>IF(OR((AI30&gt;AI43),(AR14&gt;AJ43)),'Translate&amp;Prices&amp;Logo'!B693,"")</f>
        <v/>
      </c>
      <c r="M33" s="648"/>
      <c r="N33" s="648"/>
      <c r="O33" s="648"/>
      <c r="P33" s="648"/>
      <c r="Q33" s="648"/>
      <c r="R33" s="648"/>
      <c r="S33" s="648"/>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IF(kombinace_6!V1=2,((AR14/1000)*(AI30/1000))*'Translate&amp;Prices&amp;Logo'!C96,0)</f>
        <v>0</v>
      </c>
    </row>
    <row r="34" spans="1:58" s="148" customFormat="1" ht="36.75" customHeight="1">
      <c r="A34" s="149"/>
      <c r="B34" s="648"/>
      <c r="C34" s="648"/>
      <c r="D34" s="648"/>
      <c r="E34" s="648"/>
      <c r="F34" s="648"/>
      <c r="G34" s="648"/>
      <c r="H34" s="648"/>
      <c r="I34" s="648"/>
      <c r="J34" s="648"/>
      <c r="K34" s="648"/>
      <c r="L34" s="648"/>
      <c r="M34" s="648"/>
      <c r="N34" s="648"/>
      <c r="O34" s="648"/>
      <c r="P34" s="648"/>
      <c r="Q34" s="648"/>
      <c r="R34" s="648"/>
      <c r="S34" s="648"/>
      <c r="V34" s="671"/>
      <c r="W34" s="671"/>
      <c r="AS34" s="147"/>
      <c r="AT34" s="147"/>
      <c r="AW34" s="248"/>
      <c r="AX34" s="248"/>
      <c r="AY34" s="248"/>
      <c r="AZ34" s="248"/>
      <c r="BA34" s="248"/>
      <c r="BB34" s="248"/>
      <c r="BC34" s="248"/>
      <c r="BD34" s="248"/>
      <c r="BE34" s="248"/>
      <c r="BF34" s="248"/>
    </row>
    <row r="35" spans="1:58" ht="15" hidden="1" customHeight="1">
      <c r="A35" s="112"/>
      <c r="B35" s="112"/>
      <c r="O35" s="140"/>
      <c r="P35" s="140"/>
      <c r="Q35" s="149"/>
      <c r="AD35" s="112"/>
      <c r="AE35" s="112"/>
      <c r="AK35" s="148"/>
      <c r="AL35" s="148"/>
      <c r="AM35" s="148"/>
      <c r="AN35" s="148"/>
      <c r="AP35" s="146"/>
      <c r="AQ35" s="146">
        <f>IF(kombinace_6!$V$1=3,IFERROR(((VLOOKUP(H24,'Translate&amp;Prices&amp;Logo'!B93:C95,2,0))*(AR14/1000)),0),0)</f>
        <v>0</v>
      </c>
      <c r="AR35" s="138"/>
      <c r="AS35" s="271" t="s">
        <v>3467</v>
      </c>
      <c r="AT35" s="272"/>
      <c r="AU35" s="272"/>
      <c r="AV35" s="248"/>
    </row>
    <row r="36" spans="1:58" s="157" customFormat="1" ht="18.600000000000001" hidden="1" customHeight="1">
      <c r="A36" s="149"/>
      <c r="B36" s="157" t="str" cm="1">
        <f t="array" ref="B36:B101">IF(kombinace_6!FC2=TRUE,_profily_síťka,IF(kombinace_6!H1=TRUE,_kombinovane_profily,_vše_profily))</f>
        <v>BRW (elox.) - maksymalna zalecana długość profilu 2500 mm</v>
      </c>
      <c r="L36" s="157" t="str">
        <f t="array" ref="L36:M36">IF(kombinace_6!H1=TRUE,'závěsy dle výklopu'!$BQ$2:$BR$2,
IF(H8=kombinace_6!A41,'závěsy dle výklopu'!$BQ$2,IF(H8=kombinace_6!A42,'závěsy dle výklopu'!$BQ$2,IF(H8=kombinace_6!A65,'závěsy dle výklopu'!$BQ$2,IF(H8=kombinace_6!A66,'závěsy dle výklopu'!$BQ$2,IF(H8=kombinace_6!A67,'závěsy dle výklopu'!$BQ$2,IF(H8=kombinace_6!A68,'závěsy dle výklopu'!$BQ$2,IF(OR(H8='Translate&amp;Prices&amp;Logo'!B66,H8='Translate&amp;Prices&amp;Logo'!B67,H8='Translate&amp;Prices&amp;Logo'!B68,H8='Translate&amp;Prices&amp;Logo'!B69,H8='Translate&amp;Prices&amp;Logo'!B70),"",'závěsy dle výklopu'!$BQ$2:$BR$2))))))))</f>
        <v>Zawiasy</v>
      </c>
      <c r="M36" s="157" t="str">
        <v>Podnośniki</v>
      </c>
      <c r="P36" s="157" t="str" cm="1">
        <f t="array" ref="P36:P38">IF(H13=kombinace_6!BQ11,kombinace_6!$DN$2,kombinace_6!$DN$2:$DN$4)</f>
        <v>Nakładany</v>
      </c>
      <c r="T36" s="157">
        <f t="array" aca="1" ref="T36:T44" ca="1">IF(H13=kombinace_6!BQ11,
  kombinace_6!$FA$2:$FA$9,
  IF(AND(OR(H8=kombinace_6!A36,H8=kombinace_6!A37),H13='závěsy dle výklopu'!BQ4),
    INDIRECT(VLOOKUP(AD42&amp;"_Rocca",kombinace_6!$ER$1:$ES$108,2,0)),
    IF($AU$9=2,
      INDIRECT(VLOOKUP(AD42,kombinace_6!$ER$1:$ES$108,2,0)),
      IF($AU$9=3,
        INDIRECT(VLOOKUP($T$47,kombinace_6!$AA$1:$AB$100,2,0)),
      $Y$48)
    )
  )
)</f>
        <v>0</v>
      </c>
      <c r="AF36" s="157" t="e">
        <f>HLOOKUP($AD$44,'závěsy dle výklopu'!$CG$4:$EZ$10,2,0)</f>
        <v>#N/A</v>
      </c>
      <c r="AJ36" s="157">
        <f t="array" ref="AJ36:AJ40">IF(AM19&lt;2100,kombinace_6!BY8:BY12,kombinace_6!BY8:BY12)</f>
        <v>2</v>
      </c>
      <c r="AW36" s="248"/>
      <c r="AX36" s="248"/>
      <c r="AY36" s="248"/>
    </row>
    <row r="37" spans="1:58" s="157" customFormat="1" ht="15" hidden="1" customHeight="1">
      <c r="A37" s="140"/>
      <c r="B37" s="157" t="str">
        <v>BRW bialy matowy RAL 9003 - maksymalna zalecana długość profilu 2500 mm</v>
      </c>
      <c r="P37" s="157" t="e">
        <v>#N/A</v>
      </c>
      <c r="T37" s="157">
        <f ca="1"/>
        <v>0</v>
      </c>
      <c r="W37" s="157" t="str" cm="1">
        <f t="array" ref="W37">IF(Hlavní!$V$39=3,"",'Translate&amp;Prices&amp;Logo'!B558:B559)</f>
        <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bialy połysk RAL 9003 - maksymalna zalecana długość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szczotkowany - maksymalna zalecana długość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Czarny matowy - maksymalna zalecana długość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czarna szczotka - maksymalna zalecana długość profilu 2500 mm</v>
      </c>
      <c r="L41" s="157" t="str">
        <v xml:space="preserve">Kesseböhmer </v>
      </c>
      <c r="T41" s="157">
        <f ca="1"/>
        <v>0</v>
      </c>
      <c r="U41" s="157">
        <f>IF(Hlavní!$V$39=3,1,2)</f>
        <v>1</v>
      </c>
      <c r="AE41" s="157">
        <f>AF41</f>
        <v>0</v>
      </c>
      <c r="AH41" s="274"/>
      <c r="AI41" s="275" t="s">
        <v>3460</v>
      </c>
      <c r="AJ41" s="275" t="s">
        <v>3461</v>
      </c>
      <c r="AS41" s="157" t="s">
        <v>1198</v>
      </c>
      <c r="AW41" s="248"/>
      <c r="AX41" s="248"/>
      <c r="AY41" s="248"/>
    </row>
    <row r="42" spans="1:58" s="157" customFormat="1" ht="18.600000000000001" hidden="1" customHeight="1">
      <c r="A42" s="140"/>
      <c r="B42" s="157" t="str">
        <v>BRW INOX ACIER gratta - maksymalna zalecana długość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antracyt RAL 7021 - maksymalna zalecana długość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6!FC2=TRUE,500,AJ43))),"")</f>
        <v/>
      </c>
      <c r="AJ43" s="277" t="str">
        <f>IFERROR((IF(kombinace_6!FC2=TRUE,1000,VLOOKUP(H8,'Translate&amp;Prices&amp;Logo'!B6:U84,20,0))),"")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maksymalna zalecana długość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maksymalna zalecana długość profilu 2500 mm</v>
      </c>
      <c r="M45" s="157" t="s">
        <v>2496</v>
      </c>
      <c r="N45" s="157" t="s">
        <v>1039</v>
      </c>
      <c r="AS45" s="133"/>
      <c r="AW45" s="248"/>
      <c r="AX45" s="248"/>
      <c r="AY45" s="248"/>
    </row>
    <row r="46" spans="1:58" s="157" customFormat="1" ht="14.85" hidden="1" customHeight="1">
      <c r="A46" s="140"/>
      <c r="B46" s="157" t="str">
        <v>BRW brąz - maksymalna zalecana długość profilu 2500 mm</v>
      </c>
      <c r="M46" s="157" t="s">
        <v>4254</v>
      </c>
    </row>
    <row r="47" spans="1:58" s="157" customFormat="1" ht="14.85" hidden="1" customHeight="1">
      <c r="A47" s="140"/>
      <c r="B47" s="157" t="str">
        <v>BRW INOX LIJA - maksymalna zalecana długość profilu 2500 mm</v>
      </c>
      <c r="M47" s="157" t="s">
        <v>4255</v>
      </c>
      <c r="T47" s="157" t="str">
        <f>CONCATENATE(H13,"_",VLOOKUP(kombinace_6!H1,kombinace_6!$J$14:$K$15,2,0))</f>
        <v>_2</v>
      </c>
      <c r="AD47" s="157" t="s">
        <v>4253</v>
      </c>
      <c r="AI47" s="112"/>
      <c r="AJ47" s="270"/>
      <c r="AN47" s="581"/>
      <c r="AO47" s="581"/>
      <c r="AP47" s="581"/>
      <c r="AQ47" s="581"/>
    </row>
    <row r="48" spans="1:58" s="157" customFormat="1" ht="14.85" hidden="1" customHeight="1">
      <c r="A48" s="140"/>
      <c r="B48" s="157" t="str">
        <v>BRW kaszmirowy - maksymalna zalecana długość profilu 2500 mm</v>
      </c>
      <c r="T48" s="157" t="e">
        <f>VLOOKUP(AD42,kombinace_6!ER1:ES120,2,0)</f>
        <v>#N/A</v>
      </c>
      <c r="AS48"/>
      <c r="AT48"/>
    </row>
    <row r="49" spans="1:46" s="157" customFormat="1" ht="14.85" hidden="1" customHeight="1">
      <c r="A49" s="140"/>
      <c r="B49" s="157" t="str">
        <v>BRW złota- maksymalna zalecana długość profilu 2500 mm</v>
      </c>
      <c r="AS49"/>
      <c r="AT49"/>
    </row>
    <row r="50" spans="1:46" s="157" customFormat="1" ht="14.85" hidden="1" customHeight="1">
      <c r="A50" s="140"/>
      <c r="B50" s="157" t="str">
        <v>BRW złota szczotkowany - maksymalna zalecana zalecana długość profilu 2500 mm</v>
      </c>
      <c r="AS50"/>
      <c r="AT50"/>
    </row>
    <row r="51" spans="1:46" s="157" customFormat="1" ht="14.85" hidden="1" customHeight="1">
      <c r="A51" s="140"/>
      <c r="B51" s="157" t="str">
        <v>Corleone (elox.)- maksymalna zalecana długość profilu 1500 mm</v>
      </c>
      <c r="AS51"/>
      <c r="AT51"/>
    </row>
    <row r="52" spans="1:46" s="157" customFormat="1" ht="14.85" hidden="1" customHeight="1">
      <c r="A52" s="140"/>
      <c r="B52" s="157" t="str">
        <v>Corleone czarny matowy - maksymalna zalecana długość profilu 1500 mm</v>
      </c>
      <c r="AS52"/>
      <c r="AT52"/>
    </row>
    <row r="53" spans="1:46" s="157" customFormat="1" ht="14.85" hidden="1" customHeight="1">
      <c r="A53" s="140"/>
      <c r="B53" s="157" t="str">
        <v>ASTI  czarne  - maksymalna zalecana długość profilu 2150</v>
      </c>
      <c r="AS53"/>
      <c r="AT53"/>
    </row>
    <row r="54" spans="1:46" s="157" customFormat="1" ht="14.85" hidden="1" customHeight="1">
      <c r="A54" s="140"/>
      <c r="B54" s="157" t="str">
        <v>ASTI  antracyt mat RAL 7021 mat lakier - maksymalna zalecana długość profilu 2500 mm</v>
      </c>
      <c r="K54" s="157" t="str">
        <f t="array" ref="K54:K58">IF(OR($H$15=kombinace_6!AB40,$H$15=kombinace_6!AB7,$H$15=kombinace_6!AB15,$H$15=kombinace_6!AB20,$H$15=kombinace_6!AB21,$H$15=kombinace_6!AB22),'Translate&amp;Prices&amp;Logo'!$B$231:$B$233,IF($H$15=kombinace_6!AB41,'Translate&amp;Prices&amp;Logo'!$B$231:$B$233,'Translate&amp;Prices&amp;Logo'!$B$235:$B$239))</f>
        <v>Wąska ALU ramka</v>
      </c>
      <c r="T54" s="157" t="str">
        <f t="array" ref="T54:T56">kombinace_6!$EN$3:$EN$5</f>
        <v>Bez modyfikacji</v>
      </c>
      <c r="U54" s="157">
        <v>1</v>
      </c>
      <c r="X54" s="157" t="str">
        <f t="array" ref="X54:X56">kombinace_6!$X$3:$X$5</f>
        <v>transparentna</v>
      </c>
      <c r="AD54" s="157" t="e" cm="1">
        <f t="array" aca="1" ref="AD54" ca="1">IF(kombinace_6!FC2=FALSE,
INDIRECT(kombinace_6!S1),
IF(kombinace_6!FC2=TRUE,INDIRECT(VLOOKUP(Ram_6!H8,'závěsy dle výklopu'!A81:B90,2,0)),0))</f>
        <v>#N/A</v>
      </c>
      <c r="AS54"/>
      <c r="AT54"/>
    </row>
    <row r="55" spans="1:46" s="157" customFormat="1" ht="14.85" hidden="1" customHeight="1">
      <c r="A55" s="140"/>
      <c r="B55" s="157" t="str">
        <v>Imola (elox.) - maksymalna zalecana długość profilu 2500 mm</v>
      </c>
      <c r="K55" s="157" t="str">
        <v>Szeroka ALU ramka</v>
      </c>
      <c r="T55" s="157" t="str">
        <v>Hartowane (termin dostawy 4 tygodnie)</v>
      </c>
      <c r="U55" s="157">
        <v>2</v>
      </c>
      <c r="X55" s="157" t="str">
        <v>Biała</v>
      </c>
      <c r="AS55"/>
      <c r="AT55"/>
    </row>
    <row r="56" spans="1:46" s="157" customFormat="1" ht="14.85" hidden="1" customHeight="1">
      <c r="A56" s="140"/>
      <c r="B56" s="157" t="str">
        <v>Imola Czarny matowy - maksymalna zalecana długość profilu 2500 mm</v>
      </c>
      <c r="K56" s="157" t="str">
        <v>MDF grubość 16mm</v>
      </c>
      <c r="T56" s="157" t="str">
        <v>Folia</v>
      </c>
      <c r="U56" s="157">
        <v>3</v>
      </c>
      <c r="X56" s="157" t="str">
        <v>czarna</v>
      </c>
    </row>
    <row r="57" spans="1:46" s="157" customFormat="1" ht="14.85" hidden="1" customHeight="1">
      <c r="A57" s="140"/>
      <c r="B57" s="157" t="str">
        <v>Imola bialy matowy RAL 9003 - maksymalna zalecana długość profilu 2500 mm</v>
      </c>
      <c r="K57" s="157" t="str">
        <v>MDF grubość 18mm</v>
      </c>
    </row>
    <row r="58" spans="1:46" s="157" customFormat="1" ht="14.85" hidden="1" customHeight="1">
      <c r="A58" s="140"/>
      <c r="B58" s="157" t="str">
        <v>Imola złota - maksymalna zalecana zalecana długość profilu 2150 mm</v>
      </c>
      <c r="K58" s="157" t="str">
        <v>Płyta melaminowana grubość 18mm</v>
      </c>
    </row>
    <row r="59" spans="1:46" s="157" customFormat="1" ht="14.85" hidden="1" customHeight="1">
      <c r="A59" s="140"/>
      <c r="B59" s="157" t="str">
        <v>Modena (elox.) - maksymalna zalecana długość profilu 2500 mm</v>
      </c>
      <c r="T59" s="157">
        <f>IFERROR(VLOOKUP($H$21,$T$54:$U$56,2,0),0)</f>
        <v>0</v>
      </c>
    </row>
    <row r="60" spans="1:46" s="157" customFormat="1" ht="14.85" hidden="1" customHeight="1">
      <c r="A60" s="140"/>
      <c r="B60" s="157" t="str">
        <v>Modena Czarny matowy - maksymalna zalecana długość profilu 2500 mm</v>
      </c>
      <c r="K60" s="157" t="b">
        <f>K56=K61</f>
        <v>0</v>
      </c>
    </row>
    <row r="61" spans="1:46" s="157" customFormat="1" ht="14.85" hidden="1" customHeight="1">
      <c r="A61" s="140"/>
      <c r="B61" s="157" t="str">
        <v>Modena czarna szczotka - maksymalna zalecana długość profilu 2500 mm</v>
      </c>
      <c r="H61" s="157" t="str">
        <f>'Translate&amp;Prices&amp;Logo'!$B$188</f>
        <v>Dolne drzwi</v>
      </c>
      <c r="K61" s="157" t="str">
        <f>'Translate&amp;Prices&amp;Logo'!$B$233</f>
        <v>2 sztuki (obydwie strony)</v>
      </c>
    </row>
    <row r="62" spans="1:46" s="157" customFormat="1" ht="14.85" hidden="1" customHeight="1">
      <c r="A62" s="140"/>
      <c r="B62" s="157" t="str">
        <v>Modena INOX LIJA - maksymalna zalecana długość profilu 2500 mm</v>
      </c>
    </row>
    <row r="63" spans="1:46" s="157" customFormat="1" ht="14.85" hidden="1" customHeight="1">
      <c r="A63" s="140"/>
      <c r="B63" s="157" t="str">
        <v>Modena brąz - maksymalna zalecana długość profilu 2500 mm</v>
      </c>
    </row>
    <row r="64" spans="1:46" s="157" customFormat="1" ht="14.85" hidden="1" customHeight="1">
      <c r="A64" s="140"/>
      <c r="B64" s="157" t="str">
        <v>Pisa (elox.) - maksymalna zalecana długość profilu 2500 mm</v>
      </c>
    </row>
    <row r="65" spans="1:15" s="157" customFormat="1" ht="14.85" hidden="1" customHeight="1">
      <c r="A65" s="140"/>
      <c r="B65" s="157" t="str">
        <v>Pisa biały matowy RAL 9003 - maksymalna zalecana zalecana długość profilu 2500 mm</v>
      </c>
      <c r="H65" s="33" t="str">
        <f>'rozpad závěsů bez prázdn. řádků'!$K$1</f>
        <v>krzyżakowy, wkręt</v>
      </c>
      <c r="I65" s="159">
        <v>6</v>
      </c>
      <c r="J65" s="32" t="e">
        <f>VLOOKUP($H$15,'rozpad závěsů bez prázdn. řádků'!$G$2:$X$66,I65,0)</f>
        <v>#N/A</v>
      </c>
      <c r="O65" s="157" t="str" cm="1">
        <f t="array" ref="O65:O66">IF($H$15=kombinace_6!$AB$40,_strong_vzpera_horni,IF($H$15=kombinace_6!$AB$41,_stronglift_klopna,IF($H$12='závěsy dle výklopu'!$BQ$2,$J$65:$J$71,'Translate&amp;Prices&amp;Logo'!$B$187:$B$188)))</f>
        <v>Górne drzwi</v>
      </c>
    </row>
    <row r="66" spans="1:15" s="157" customFormat="1" ht="14.85" hidden="1" customHeight="1">
      <c r="A66" s="140"/>
      <c r="B66" s="157" t="str">
        <v>Pisa biały połysk RAL 9003 - maksymalna zalecana zalecana długość profilu 2500 mm</v>
      </c>
      <c r="H66" s="33" t="str">
        <f>'rozpad závěsů bez prázdn. řádků'!$M$1</f>
        <v>na wkręt (z mimośrodem)</v>
      </c>
      <c r="I66" s="159">
        <v>8</v>
      </c>
      <c r="J66" s="32" t="e">
        <f>VLOOKUP($H$15,'rozpad závěsů bez prázdn. řádků'!$G$2:$X$66,I66,0)</f>
        <v>#N/A</v>
      </c>
      <c r="O66" s="157" t="str">
        <v>Dolne drzwi</v>
      </c>
    </row>
    <row r="67" spans="1:15" s="157" customFormat="1" ht="14.85" hidden="1" customHeight="1">
      <c r="A67" s="140"/>
      <c r="B67" s="157" t="str">
        <v>Pisa Czarny matowy - maksymalna zalecana długość profilu 2500 mm</v>
      </c>
      <c r="H67" s="33" t="str">
        <f>'rozpad závěsů bez prázdn. řádků'!$O$1</f>
        <v>krzyżakowy eurowkręt</v>
      </c>
      <c r="I67" s="159">
        <v>10</v>
      </c>
      <c r="J67" s="32" t="e">
        <f>VLOOKUP($H$15,'rozpad závěsů bez prázdn. řádků'!$G$2:$X$66,I67,0)</f>
        <v>#N/A</v>
      </c>
    </row>
    <row r="68" spans="1:15" s="157" customFormat="1" ht="14.85" hidden="1" customHeight="1">
      <c r="A68" s="140"/>
      <c r="B68" s="157" t="str">
        <v>Pisa złota - maksymalna zalecana długość profilu 2150 mm</v>
      </c>
      <c r="H68" s="33" t="str">
        <f>'rozpad závěsů bez prázdn. řádků'!$Q$1</f>
        <v>krzyżakowy expando</v>
      </c>
      <c r="I68" s="159">
        <v>12</v>
      </c>
      <c r="J68" s="32" t="e">
        <f>VLOOKUP($H$15,'rozpad závěsů bez prázdn. řádků'!$G$2:$X$66,I68,0)</f>
        <v>#N/A</v>
      </c>
    </row>
    <row r="69" spans="1:15" s="157" customFormat="1" ht="14.85" hidden="1" customHeight="1">
      <c r="A69" s="140"/>
      <c r="B69" s="157" t="str">
        <v>Rimini elox naturalna - maksymalna długość profilu 1100 mm</v>
      </c>
      <c r="H69" s="33" t="str">
        <f>'rozpad závěsů bez prázdn. řádků'!$S$1</f>
        <v>prosty wkręt</v>
      </c>
      <c r="I69" s="159">
        <v>14</v>
      </c>
      <c r="J69" s="32" t="e">
        <f>VLOOKUP($H$15,'rozpad závěsů bez prázdn. řádků'!$G$2:$X$66,I69,0)</f>
        <v>#N/A</v>
      </c>
    </row>
    <row r="70" spans="1:15" s="157" customFormat="1" ht="14.85" hidden="1" customHeight="1">
      <c r="A70" s="140"/>
      <c r="B70" s="157" t="str">
        <v>Rimini czarny mat - maksymalna długość profilu 1100 mm</v>
      </c>
      <c r="H70" s="33" t="str">
        <f>'rozpad závěsů bez prázdn. řádků'!$U$1</f>
        <v>prosty eurowkręt</v>
      </c>
      <c r="I70" s="159">
        <v>16</v>
      </c>
      <c r="J70" s="32" t="e">
        <f>VLOOKUP($H$15,'rozpad závěsů bez prázdn. řádků'!$G$2:$X$66,I70,0)</f>
        <v>#N/A</v>
      </c>
    </row>
    <row r="71" spans="1:15" s="157" customFormat="1" ht="14.85" hidden="1" customHeight="1">
      <c r="A71" s="140"/>
      <c r="B71" s="157" t="str">
        <v>Rimini champagne - maksymalna długość profilu 1100 mm</v>
      </c>
      <c r="H71" s="33" t="str">
        <f>'rozpad závěsů bez prázdn. řádků'!$W$1</f>
        <v>prosty expando</v>
      </c>
      <c r="I71" s="159">
        <v>18</v>
      </c>
      <c r="J71" s="32" t="e">
        <f>VLOOKUP($H$15,'rozpad závěsů bez prázdn. řádků'!$G$2:$X$66,I71,0)</f>
        <v>#N/A</v>
      </c>
    </row>
    <row r="72" spans="1:15" s="157" customFormat="1" ht="14.85" hidden="1" customHeight="1">
      <c r="A72" s="140"/>
      <c r="B72" s="157" t="str">
        <v>Rimini zlota - maksymalna długość profilu 1100 mm</v>
      </c>
    </row>
    <row r="73" spans="1:15" s="157" customFormat="1" ht="14.85" hidden="1" customHeight="1">
      <c r="A73" s="140"/>
      <c r="B73" s="157" t="str">
        <v>Rimini zlota szczotkowana - maksymalna długość profilu 1100 mm</v>
      </c>
    </row>
    <row r="74" spans="1:15" s="157" customFormat="1" ht="14.85" hidden="1" customHeight="1">
      <c r="A74" s="140"/>
      <c r="B74" s="157" t="str">
        <v>Rocca (elox.) - maksymalna zalecana zalecana długość profilu 2150 mm</v>
      </c>
    </row>
    <row r="75" spans="1:15" s="157" customFormat="1" ht="14.85" hidden="1" customHeight="1">
      <c r="A75" s="140"/>
      <c r="B75" s="157" t="str">
        <v>Rocca czarny matowy - maksymalna zalecana zalecana długość profilu 2150 mm</v>
      </c>
    </row>
    <row r="76" spans="1:15" s="157" customFormat="1" ht="14.85" hidden="1" customHeight="1">
      <c r="A76" s="140"/>
      <c r="B76" s="157" t="str">
        <v>Treviso czarny matowy - maksymalna zalecana długość profilu 2750 mm</v>
      </c>
    </row>
    <row r="77" spans="1:15" s="157" customFormat="1" ht="14.85" hidden="1" customHeight="1">
      <c r="A77" s="140"/>
      <c r="B77" s="157" t="str">
        <v>Verona (elox.) - maksymalna zalecana zalecana długość profilu 2500 mm</v>
      </c>
    </row>
    <row r="78" spans="1:15" s="157" customFormat="1" ht="14.85" hidden="1" customHeight="1">
      <c r="A78" s="140"/>
      <c r="B78" s="157" t="str">
        <v>Verona szczotkowany - maksymalna zalecana zalecana długość profilu 2500 mm</v>
      </c>
    </row>
    <row r="79" spans="1:15" s="157" customFormat="1" ht="14.85" hidden="1" customHeight="1">
      <c r="A79" s="140"/>
      <c r="B79" s="157" t="str">
        <v>Verona czarny matowy - maksymalna zalecana zalecana długość profilu 2500 mm</v>
      </c>
    </row>
    <row r="80" spans="1:15" s="157" customFormat="1" ht="14.85" hidden="1" customHeight="1">
      <c r="A80" s="140"/>
      <c r="B80" s="157" t="str">
        <v>Verona czarny połysk - maksymalna zalecana zalecana długość profilu 2500 mm</v>
      </c>
    </row>
    <row r="81" spans="1:38" s="157" customFormat="1" ht="14.85" hidden="1" customHeight="1">
      <c r="A81" s="140"/>
      <c r="B81" s="157" t="str">
        <v>Verona braz - maksymalna zalecana zalecana długość profilu 2500 mm</v>
      </c>
    </row>
    <row r="82" spans="1:38" s="157" customFormat="1" ht="14.85" hidden="1" customHeight="1">
      <c r="A82" s="140"/>
      <c r="B82" s="157" t="str">
        <v>Verona szampański - maksymalna zalecana zalecana długość profilu 2500 mm</v>
      </c>
      <c r="P82" s="157" t="str" cm="1">
        <f t="array" ref="P82:P85">IF(OR(H8=kombinace_6!F18,H8=kombinace_6!F19,H8=kombinace_6!A60,H8=kombinace_6!A61,H8=kombinace_6!A62,H8=kombinace_6!A63),_2_strany,IF(H15=kombinace_6!AB8,_ramena_HL,_4_strany))</f>
        <v>W górę</v>
      </c>
    </row>
    <row r="83" spans="1:38" ht="14.85" hidden="1" customHeight="1">
      <c r="B83" s="138" t="str">
        <v>Verona Inox szczotkowany (Inox Lija)- maksymalna zalecana zalecana długość profilu 2500 mm</v>
      </c>
      <c r="C83" s="140"/>
      <c r="D83" s="140"/>
      <c r="E83" s="140"/>
      <c r="F83" s="140"/>
      <c r="G83" s="140"/>
      <c r="H83" s="140"/>
      <c r="I83" s="140"/>
      <c r="J83" s="140"/>
      <c r="K83" s="140"/>
      <c r="L83" s="140"/>
      <c r="M83" s="140"/>
      <c r="N83" s="140"/>
      <c r="O83" s="138"/>
      <c r="P83" s="140" t="str">
        <v>W dół</v>
      </c>
      <c r="Q83" s="140"/>
      <c r="R83" s="140"/>
      <c r="S83" s="140"/>
      <c r="T83" s="149"/>
      <c r="U83" s="149"/>
      <c r="V83" s="149"/>
      <c r="W83" s="149"/>
      <c r="X83" s="149"/>
      <c r="Y83" s="150"/>
      <c r="Z83" s="150"/>
      <c r="AA83" s="150"/>
      <c r="AB83" s="150"/>
      <c r="AC83" s="148"/>
      <c r="AD83" s="148"/>
      <c r="AE83" s="148"/>
      <c r="AF83" s="148"/>
      <c r="AG83" s="148"/>
      <c r="AH83" s="148"/>
      <c r="AI83" s="150"/>
      <c r="AJ83" s="150"/>
      <c r="AK83" s="150"/>
      <c r="AL83" s="150"/>
    </row>
    <row r="84" spans="1:38" ht="14.85" hidden="1" customHeight="1">
      <c r="B84" s="138" t="str">
        <v>Verona Acier Gratta - maksymalna zalecana zalecana długość profilu 2500 mm</v>
      </c>
      <c r="C84" s="140"/>
      <c r="D84" s="140"/>
      <c r="E84" s="140"/>
      <c r="F84" s="140"/>
      <c r="G84" s="140"/>
      <c r="H84" s="140"/>
      <c r="I84" s="140"/>
      <c r="J84" s="140"/>
      <c r="K84" s="140"/>
      <c r="L84" s="140"/>
      <c r="M84" s="140"/>
      <c r="N84" s="140"/>
      <c r="O84" s="138"/>
      <c r="P84" s="140" t="str">
        <v>W prawo</v>
      </c>
      <c r="Q84" s="140"/>
      <c r="R84" s="140"/>
      <c r="S84" s="140"/>
      <c r="T84" s="149"/>
      <c r="U84" s="149"/>
      <c r="V84" s="149"/>
      <c r="W84" s="149"/>
      <c r="X84" s="149"/>
      <c r="Y84" s="150"/>
      <c r="Z84" s="150"/>
      <c r="AA84" s="150"/>
      <c r="AB84" s="150"/>
      <c r="AC84" s="148"/>
      <c r="AD84" s="148"/>
      <c r="AE84" s="148"/>
      <c r="AF84" s="148"/>
      <c r="AG84" s="148"/>
      <c r="AH84" s="148"/>
      <c r="AI84" s="150"/>
      <c r="AJ84" s="150"/>
      <c r="AK84" s="150"/>
      <c r="AL84" s="150"/>
    </row>
    <row r="85" spans="1:38" ht="14.85" hidden="1" customHeight="1">
      <c r="B85" s="138" t="str">
        <v>Verona Ivory mat - maksymalna zalecana zalecana długość profilu 2150 mm</v>
      </c>
      <c r="C85" s="140"/>
      <c r="D85" s="140"/>
      <c r="E85" s="140"/>
      <c r="F85" s="140"/>
      <c r="G85" s="140"/>
      <c r="H85" s="140"/>
      <c r="I85" s="140"/>
      <c r="J85" s="140"/>
      <c r="K85" s="140"/>
      <c r="L85" s="140"/>
      <c r="M85" s="140"/>
      <c r="N85" s="140"/>
      <c r="O85" s="140"/>
      <c r="P85" s="140" t="str">
        <v>W lewo</v>
      </c>
      <c r="Q85" s="140"/>
      <c r="R85" s="140"/>
      <c r="S85" s="140"/>
      <c r="T85" s="149"/>
      <c r="U85" s="149"/>
      <c r="V85" s="149"/>
      <c r="W85" s="149"/>
      <c r="X85" s="149"/>
      <c r="Y85" s="150"/>
      <c r="Z85" s="150"/>
      <c r="AA85" s="150"/>
      <c r="AB85" s="150"/>
      <c r="AC85" s="148"/>
      <c r="AD85" s="148"/>
      <c r="AE85" s="148"/>
      <c r="AF85" s="148"/>
      <c r="AG85" s="148"/>
      <c r="AH85" s="148"/>
      <c r="AI85" s="150"/>
      <c r="AJ85" s="150"/>
      <c r="AK85" s="150"/>
      <c r="AL85" s="150"/>
    </row>
    <row r="86" spans="1:38" ht="14.85" hidden="1" customHeight="1">
      <c r="B86" s="138" t="str">
        <v>Verona kaszmirowy - maksymalna zalecana długość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c r="AE86" s="148"/>
      <c r="AF86" s="148"/>
      <c r="AG86" s="148"/>
      <c r="AH86" s="148"/>
      <c r="AI86" s="150"/>
      <c r="AJ86" s="150"/>
      <c r="AK86" s="150"/>
      <c r="AL86" s="150"/>
    </row>
    <row r="87" spans="1:38" ht="14.85" hidden="1" customHeight="1">
      <c r="B87" s="138" t="str">
        <v>Verona złota - maksymalna zalecana długość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c r="AE87" s="148"/>
      <c r="AF87" s="148"/>
      <c r="AG87" s="148"/>
      <c r="AH87" s="148"/>
      <c r="AI87" s="150"/>
      <c r="AJ87" s="150"/>
      <c r="AK87" s="150"/>
      <c r="AL87" s="150"/>
    </row>
    <row r="88" spans="1:38" ht="14.85" hidden="1" customHeight="1">
      <c r="B88" s="138" t="str">
        <v>Verona złota szczotkowany - maksymalna zalecana zalecana długość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c r="AE88" s="148"/>
      <c r="AF88" s="148"/>
      <c r="AG88" s="148"/>
      <c r="AH88" s="148"/>
      <c r="AI88" s="150"/>
      <c r="AJ88" s="150"/>
      <c r="AK88" s="150"/>
      <c r="AL88" s="150"/>
    </row>
    <row r="89" spans="1:38" ht="14.85" hidden="1" customHeight="1">
      <c r="B89" s="138" t="str">
        <v>Vivaro (elox.) - maksymalna zalecana zalecana długość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c r="AE89" s="148"/>
      <c r="AF89" s="148"/>
      <c r="AG89" s="148"/>
      <c r="AH89" s="148"/>
      <c r="AI89" s="150"/>
      <c r="AJ89" s="150"/>
      <c r="AK89" s="150"/>
      <c r="AL89" s="150"/>
    </row>
    <row r="90" spans="1:38" ht="14.85" hidden="1" customHeight="1">
      <c r="B90" s="138" t="str">
        <v>Vivaro czarny matowy - maksymalna zalecana zalecana długość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c r="AE90" s="148"/>
      <c r="AF90" s="148"/>
      <c r="AG90" s="148"/>
      <c r="AH90" s="148"/>
      <c r="AI90" s="150"/>
      <c r="AJ90" s="150"/>
      <c r="AK90" s="150"/>
      <c r="AL90" s="150"/>
    </row>
    <row r="91" spans="1:38" ht="14.85" hidden="1" customHeight="1">
      <c r="B91" s="138" t="str">
        <v>Vivaro INOX LIJA - maksymalna zalecana zalecana długość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c r="AE91" s="148"/>
      <c r="AF91" s="148"/>
      <c r="AG91" s="148"/>
      <c r="AH91" s="148"/>
      <c r="AI91" s="150"/>
      <c r="AJ91" s="150"/>
      <c r="AK91" s="150"/>
      <c r="AL91" s="150"/>
    </row>
    <row r="92" spans="1:38" ht="14.85" hidden="1" customHeight="1">
      <c r="B92" s="138" t="str">
        <v>Vivaro biały matowy RAL 9003 - maksymalna zalecana zalecana długość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c r="AE92" s="148"/>
      <c r="AF92" s="148"/>
      <c r="AG92" s="148"/>
      <c r="AH92" s="148"/>
      <c r="AI92" s="150"/>
      <c r="AJ92" s="150"/>
      <c r="AK92" s="150"/>
      <c r="AL92" s="150"/>
    </row>
    <row r="93" spans="1:38" ht="14.85" hidden="1" customHeight="1">
      <c r="B93" s="138" t="str">
        <v>Vivaro biały połysk RAL 9003 - maksymalna zalecana zalecana długość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c r="AE93" s="148"/>
      <c r="AF93" s="148"/>
      <c r="AG93" s="148"/>
      <c r="AH93" s="148"/>
      <c r="AI93" s="150"/>
      <c r="AJ93" s="150"/>
      <c r="AK93" s="150"/>
      <c r="AL93" s="150"/>
    </row>
    <row r="94" spans="1:38" ht="14.85" hidden="1" customHeight="1">
      <c r="B94" s="138" t="str">
        <v>Vivaro złota - maksymalna zalecana zalecana długość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c r="AE94" s="148"/>
      <c r="AF94" s="148"/>
      <c r="AG94" s="148"/>
      <c r="AH94" s="148"/>
      <c r="AI94" s="150"/>
      <c r="AJ94" s="150"/>
      <c r="AK94" s="150"/>
      <c r="AL94" s="150"/>
    </row>
    <row r="95" spans="1:38" ht="14.85" hidden="1" customHeight="1">
      <c r="B95" s="138" t="str">
        <v>Vivaro złota szczotkowany - maksymalna zalecana zalecana długość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c r="AE95" s="148"/>
      <c r="AF95" s="148"/>
      <c r="AG95" s="148"/>
      <c r="AH95" s="148"/>
      <c r="AI95" s="150"/>
      <c r="AJ95" s="150"/>
      <c r="AK95" s="150"/>
      <c r="AL95" s="150"/>
    </row>
    <row r="96" spans="1:38" ht="14.85" hidden="1" customHeight="1">
      <c r="B96" s="138" t="str">
        <v>Rocca elox (lewa i prawa) + Varna elox (góra i dół)</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c r="AE96" s="148"/>
      <c r="AF96" s="148"/>
      <c r="AG96" s="148"/>
      <c r="AH96" s="148"/>
      <c r="AI96" s="150"/>
      <c r="AJ96" s="150"/>
      <c r="AK96" s="150"/>
      <c r="AL96" s="150"/>
    </row>
    <row r="97" spans="2:38" ht="14.85" hidden="1" customHeight="1">
      <c r="B97" s="138" t="str">
        <v>Rocca czarny (lewa i prawa) + Varna czarny (góra i dół)</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c r="AE97" s="148"/>
      <c r="AF97" s="148"/>
      <c r="AG97" s="148"/>
      <c r="AH97" s="148"/>
      <c r="AI97" s="150"/>
      <c r="AJ97" s="150"/>
      <c r="AK97" s="150"/>
      <c r="AL97" s="150"/>
    </row>
    <row r="98" spans="2:38" ht="14.85" hidden="1" customHeight="1">
      <c r="B98" s="138" t="str">
        <v>ROMA czarna matowa -  maksymalna zalecana długość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maksymalna zalecana długość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czarna matowa - maksymalna zalecana długość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maksymalna zalecana długość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oNg5wmhVGBMBrK1vOLMN23qXbm6DhjIW476A4BQW7UL2G/8pm6zhWp9wt1omgaEW+BOHOL5/bEqhAUmuG/eSOg==" saltValue="4oUJcDU8kCJmhe+gZNQB5w==" spinCount="100000" sheet="1" objects="1" scenarios="1"/>
  <protectedRanges>
    <protectedRange sqref="G7 I7:R7" name="Oblast1_1"/>
  </protectedRanges>
  <mergeCells count="99">
    <mergeCell ref="B26:F26"/>
    <mergeCell ref="H26:Q26"/>
    <mergeCell ref="B27:F27"/>
    <mergeCell ref="H27:Q27"/>
    <mergeCell ref="H19:Q19"/>
    <mergeCell ref="H25:Q25"/>
    <mergeCell ref="B32:Q32"/>
    <mergeCell ref="B28:F28"/>
    <mergeCell ref="H28:Q28"/>
    <mergeCell ref="B30:J31"/>
    <mergeCell ref="K30:K31"/>
    <mergeCell ref="L30:O31"/>
    <mergeCell ref="P30:Q31"/>
    <mergeCell ref="D29:O29"/>
    <mergeCell ref="P29:Q29"/>
    <mergeCell ref="AM14:AM21"/>
    <mergeCell ref="H18:Q18"/>
    <mergeCell ref="H21:Q21"/>
    <mergeCell ref="N16:Q16"/>
    <mergeCell ref="S13:Y17"/>
    <mergeCell ref="H13:Q13"/>
    <mergeCell ref="H14:Q14"/>
    <mergeCell ref="F20:I20"/>
    <mergeCell ref="J20:M20"/>
    <mergeCell ref="B19:F19"/>
    <mergeCell ref="B15:F15"/>
    <mergeCell ref="H15:Q15"/>
    <mergeCell ref="B16:E16"/>
    <mergeCell ref="AC24:AG24"/>
    <mergeCell ref="F16:I16"/>
    <mergeCell ref="J16:M16"/>
    <mergeCell ref="B17:F17"/>
    <mergeCell ref="B18:F18"/>
    <mergeCell ref="B21:F21"/>
    <mergeCell ref="B20:E20"/>
    <mergeCell ref="H23:Q23"/>
    <mergeCell ref="AD14:AD21"/>
    <mergeCell ref="AP2:AS3"/>
    <mergeCell ref="BD3:BH3"/>
    <mergeCell ref="BI3:BM3"/>
    <mergeCell ref="B5:D5"/>
    <mergeCell ref="F5:H5"/>
    <mergeCell ref="J5:L5"/>
    <mergeCell ref="N5:P5"/>
    <mergeCell ref="R5:T5"/>
    <mergeCell ref="AB4:AN5"/>
    <mergeCell ref="V5:X5"/>
    <mergeCell ref="M10:Q10"/>
    <mergeCell ref="S10:Y12"/>
    <mergeCell ref="H10:L10"/>
    <mergeCell ref="A2:AJ3"/>
    <mergeCell ref="B7:F7"/>
    <mergeCell ref="S7:U7"/>
    <mergeCell ref="S8:Y9"/>
    <mergeCell ref="G7:Q7"/>
    <mergeCell ref="H8:Q8"/>
    <mergeCell ref="AE10:AE16"/>
    <mergeCell ref="AC8:AG8"/>
    <mergeCell ref="AJ7:AJ8"/>
    <mergeCell ref="AF9:AK9"/>
    <mergeCell ref="B14:F14"/>
    <mergeCell ref="B13:F13"/>
    <mergeCell ref="AP47:AQ47"/>
    <mergeCell ref="R33:S33"/>
    <mergeCell ref="R34:S34"/>
    <mergeCell ref="V34:W34"/>
    <mergeCell ref="AN47:AO47"/>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B33:K34"/>
    <mergeCell ref="L33:Q34"/>
    <mergeCell ref="AC9:AD9"/>
    <mergeCell ref="AD10:AD12"/>
    <mergeCell ref="B24:F24"/>
    <mergeCell ref="H24:Q24"/>
    <mergeCell ref="B25:F25"/>
    <mergeCell ref="H11:L11"/>
    <mergeCell ref="M11:Q11"/>
    <mergeCell ref="B12:F12"/>
    <mergeCell ref="H12:Q12"/>
    <mergeCell ref="N20:Q20"/>
    <mergeCell ref="H17:Q17"/>
    <mergeCell ref="B9:F9"/>
    <mergeCell ref="H9:Q9"/>
    <mergeCell ref="B11:F11"/>
  </mergeCells>
  <conditionalFormatting sqref="B5 F5 J5 N5 R5 V5">
    <cfRule type="cellIs" dxfId="209" priority="24" operator="equal">
      <formula>$A$2</formula>
    </cfRule>
  </conditionalFormatting>
  <conditionalFormatting sqref="B16:I16">
    <cfRule type="expression" dxfId="208" priority="45">
      <formula>$AU$19=0</formula>
    </cfRule>
  </conditionalFormatting>
  <conditionalFormatting sqref="B9:Q9">
    <cfRule type="expression" dxfId="207" priority="30">
      <formula>$B$9=0</formula>
    </cfRule>
  </conditionalFormatting>
  <conditionalFormatting sqref="B11:Q11">
    <cfRule type="expression" dxfId="206" priority="44">
      <formula>$AU$10=0</formula>
    </cfRule>
  </conditionalFormatting>
  <conditionalFormatting sqref="B14:Q14">
    <cfRule type="expression" dxfId="205" priority="29">
      <formula>$B$14=0</formula>
    </cfRule>
  </conditionalFormatting>
  <conditionalFormatting sqref="B17:Q17">
    <cfRule type="expression" dxfId="204" priority="28">
      <formula>$B$17=0</formula>
    </cfRule>
  </conditionalFormatting>
  <conditionalFormatting sqref="B18:Q18">
    <cfRule type="expression" dxfId="203" priority="14" stopIfTrue="1">
      <formula>$B$18=0</formula>
    </cfRule>
    <cfRule type="expression" dxfId="202" priority="17">
      <formula>$F$16=$H$61</formula>
    </cfRule>
  </conditionalFormatting>
  <conditionalFormatting sqref="B19:Q19">
    <cfRule type="expression" dxfId="201" priority="27">
      <formula>$B$19=0</formula>
    </cfRule>
  </conditionalFormatting>
  <conditionalFormatting sqref="B20:Q20">
    <cfRule type="expression" dxfId="200" priority="26">
      <formula>$B$19=0</formula>
    </cfRule>
    <cfRule type="expression" dxfId="199" priority="25">
      <formula>$B$20=0</formula>
    </cfRule>
  </conditionalFormatting>
  <conditionalFormatting sqref="B21:Q21">
    <cfRule type="expression" dxfId="198" priority="6">
      <formula>$B$21=" "</formula>
    </cfRule>
  </conditionalFormatting>
  <conditionalFormatting sqref="B24:Q24">
    <cfRule type="expression" dxfId="197" priority="19" stopIfTrue="1">
      <formula>$T$59&lt;3</formula>
    </cfRule>
  </conditionalFormatting>
  <conditionalFormatting sqref="H23">
    <cfRule type="expression" dxfId="196" priority="31">
      <formula>$H$25&gt;0</formula>
    </cfRule>
  </conditionalFormatting>
  <conditionalFormatting sqref="H10:L11">
    <cfRule type="expression" dxfId="195" priority="23">
      <formula>$AU$10=2</formula>
    </cfRule>
  </conditionalFormatting>
  <conditionalFormatting sqref="H10:Q10">
    <cfRule type="expression" dxfId="194" priority="22">
      <formula>$AU$10=0</formula>
    </cfRule>
  </conditionalFormatting>
  <conditionalFormatting sqref="H22:Q22 B22:G23">
    <cfRule type="expression" dxfId="193" priority="20">
      <formula>$AS$33=1</formula>
    </cfRule>
  </conditionalFormatting>
  <conditionalFormatting sqref="J16:M16">
    <cfRule type="expression" dxfId="192" priority="16" stopIfTrue="1">
      <formula>$K$60=TRUE</formula>
    </cfRule>
  </conditionalFormatting>
  <conditionalFormatting sqref="J16:N16">
    <cfRule type="expression" dxfId="191" priority="18" stopIfTrue="1">
      <formula>$AV$19=0</formula>
    </cfRule>
  </conditionalFormatting>
  <conditionalFormatting sqref="M10:Q11">
    <cfRule type="expression" dxfId="190" priority="21">
      <formula>$AU$10=1</formula>
    </cfRule>
  </conditionalFormatting>
  <conditionalFormatting sqref="N16:Q16">
    <cfRule type="expression" dxfId="189" priority="15" stopIfTrue="1">
      <formula>$K$60=TRUE</formula>
    </cfRule>
  </conditionalFormatting>
  <conditionalFormatting sqref="P29:Q29">
    <cfRule type="expression" dxfId="188" priority="1">
      <formula>$U$41=2</formula>
    </cfRule>
  </conditionalFormatting>
  <conditionalFormatting sqref="AA9:AA10 AA24:AA25">
    <cfRule type="expression" dxfId="187" priority="10" stopIfTrue="1">
      <formula>$AU$17=1</formula>
    </cfRule>
  </conditionalFormatting>
  <conditionalFormatting sqref="AA16:AA17">
    <cfRule type="expression" dxfId="186" priority="5" stopIfTrue="1">
      <formula>$AU$24="1_3"</formula>
    </cfRule>
  </conditionalFormatting>
  <conditionalFormatting sqref="AB6 AA6:AA7 AA27 AA28:AB28">
    <cfRule type="expression" dxfId="185" priority="4" stopIfTrue="1">
      <formula>$AV$17=1</formula>
    </cfRule>
  </conditionalFormatting>
  <conditionalFormatting sqref="AB29:AO29">
    <cfRule type="cellIs" dxfId="184" priority="2" operator="equal">
      <formula>0</formula>
    </cfRule>
  </conditionalFormatting>
  <conditionalFormatting sqref="AC6:AD6 AM6:AN6">
    <cfRule type="expression" dxfId="183" priority="12" stopIfTrue="1">
      <formula>$AU$17=3</formula>
    </cfRule>
  </conditionalFormatting>
  <conditionalFormatting sqref="AC25:AD25 AJ26:AJ27">
    <cfRule type="expression" dxfId="182" priority="39">
      <formula>$AU$25=4</formula>
    </cfRule>
  </conditionalFormatting>
  <conditionalFormatting sqref="AC28:AD28 AM28:AN28">
    <cfRule type="expression" dxfId="181" priority="11" stopIfTrue="1">
      <formula>$AU$17=4</formula>
    </cfRule>
  </conditionalFormatting>
  <conditionalFormatting sqref="AC8:AG8">
    <cfRule type="expression" dxfId="180" priority="43">
      <formula>$AU$25=3</formula>
    </cfRule>
  </conditionalFormatting>
  <conditionalFormatting sqref="AC24:AG24">
    <cfRule type="expression" dxfId="179" priority="40">
      <formula>$AU$25=4</formula>
    </cfRule>
  </conditionalFormatting>
  <conditionalFormatting sqref="AD10:AD12 AB19:AC19">
    <cfRule type="expression" dxfId="178" priority="33">
      <formula>$AU$25=1</formula>
    </cfRule>
  </conditionalFormatting>
  <conditionalFormatting sqref="AD14:AD21">
    <cfRule type="expression" dxfId="177" priority="32">
      <formula>$AU$25=1</formula>
    </cfRule>
  </conditionalFormatting>
  <conditionalFormatting sqref="AE10:AE16">
    <cfRule type="expression" dxfId="176" priority="41">
      <formula>$AU$25=1</formula>
    </cfRule>
  </conditionalFormatting>
  <conditionalFormatting sqref="AF9:AK9">
    <cfRule type="expression" dxfId="175" priority="36">
      <formula>$AU$25=3</formula>
    </cfRule>
  </conditionalFormatting>
  <conditionalFormatting sqref="AF25:AK25">
    <cfRule type="expression" dxfId="174" priority="38">
      <formula>$AU$25=4</formula>
    </cfRule>
  </conditionalFormatting>
  <conditionalFormatting sqref="AG6:AH6">
    <cfRule type="expression" dxfId="173" priority="8" stopIfTrue="1">
      <formula>$AU$24="3_3"</formula>
    </cfRule>
  </conditionalFormatting>
  <conditionalFormatting sqref="AG28:AH28">
    <cfRule type="expression" dxfId="172" priority="7" stopIfTrue="1">
      <formula>$AU$24="4_3"</formula>
    </cfRule>
  </conditionalFormatting>
  <conditionalFormatting sqref="AJ7:AJ8 AC9:AD9">
    <cfRule type="expression" dxfId="171" priority="37">
      <formula>$AU$25=3</formula>
    </cfRule>
  </conditionalFormatting>
  <conditionalFormatting sqref="AL19:AL25">
    <cfRule type="expression" dxfId="170" priority="42">
      <formula>$AU$25=2</formula>
    </cfRule>
  </conditionalFormatting>
  <conditionalFormatting sqref="AM14:AM21">
    <cfRule type="expression" dxfId="169" priority="34">
      <formula>$AU$25=2</formula>
    </cfRule>
  </conditionalFormatting>
  <conditionalFormatting sqref="AN19:AO19 AM23:AM25">
    <cfRule type="expression" dxfId="168" priority="35">
      <formula>$AU$25=2</formula>
    </cfRule>
  </conditionalFormatting>
  <conditionalFormatting sqref="AO6 AP6:AP7 AP27 AO28:AP28">
    <cfRule type="expression" dxfId="167" priority="3" stopIfTrue="1">
      <formula>$AV$17=2</formula>
    </cfRule>
  </conditionalFormatting>
  <conditionalFormatting sqref="AP9:AP10 AP24:AP25">
    <cfRule type="expression" dxfId="166" priority="9" stopIfTrue="1">
      <formula>$AU$17=2</formula>
    </cfRule>
  </conditionalFormatting>
  <conditionalFormatting sqref="AP16:AP17">
    <cfRule type="expression" dxfId="165" priority="13" stopIfTrue="1">
      <formula>$AU$24="2_3"</formula>
    </cfRule>
  </conditionalFormatting>
  <dataValidations count="20">
    <dataValidation type="whole" allowBlank="1" showInputMessage="1" showErrorMessage="1" sqref="H11:L11" xr:uid="{D228FC5D-0ED1-4DE6-8976-E01AAD856900}">
      <formula1>1</formula1>
      <formula2>(AR14/100)-1</formula2>
    </dataValidation>
    <dataValidation type="whole" allowBlank="1" showInputMessage="1" showErrorMessage="1" sqref="M11:Q11" xr:uid="{BD58DC65-D621-4E9C-A2A3-1919F1248F7B}">
      <formula1>1</formula1>
      <formula2>(AI30/100)-1</formula2>
    </dataValidation>
    <dataValidation type="whole" allowBlank="1" showInputMessage="1" showErrorMessage="1" errorTitle="Minimum 80 mm" sqref="F20:I20 N20:Q20" xr:uid="{3CF4724E-E635-4DF6-BC9D-75B1DF7EF581}">
      <formula1>80</formula1>
      <formula2>1300</formula2>
    </dataValidation>
    <dataValidation type="whole" operator="greaterThanOrEqual" allowBlank="1" showInputMessage="1" showErrorMessage="1" sqref="H26:Q26" xr:uid="{C000E41D-DEAB-4FDF-B2F0-06782DAE1721}">
      <formula1>1</formula1>
    </dataValidation>
    <dataValidation type="list" allowBlank="1" showInputMessage="1" showErrorMessage="1" sqref="H12:Q12" xr:uid="{595F759F-7B83-4488-926B-B64173A0A8D4}">
      <formula1>$L$36:$M$36</formula1>
    </dataValidation>
    <dataValidation type="list" allowBlank="1" showInputMessage="1" showErrorMessage="1" sqref="H24:Q24" xr:uid="{CB053239-EDA8-4983-8686-821CF4216020}">
      <formula1>$X$54:$X$56</formula1>
    </dataValidation>
    <dataValidation type="list" allowBlank="1" showInputMessage="1" showErrorMessage="1" sqref="H21:Q21" xr:uid="{9AC1481A-0057-493C-9C1B-C634B01AD6D2}">
      <formula1>$T$54:$T$56</formula1>
    </dataValidation>
    <dataValidation type="list" allowBlank="1" showInputMessage="1" showErrorMessage="1" sqref="H14:Q14" xr:uid="{8A8F2EFE-6AAC-4076-9B51-0D659DD8F17F}">
      <formula1>$P$36:$P$38</formula1>
    </dataValidation>
    <dataValidation type="list" allowBlank="1" showInputMessage="1" showErrorMessage="1" sqref="H19:Q19" xr:uid="{FEE3D548-DEFA-4EBB-A870-ADABFEB93B28}">
      <formula1>IF(H13="Salice",$AJ$36,($AJ$36:$AJ$40))</formula1>
    </dataValidation>
    <dataValidation type="list" allowBlank="1" showInputMessage="1" showErrorMessage="1" sqref="H18:Q18" xr:uid="{E5A0276A-3810-4C3D-87AF-81F13A3BD90A}">
      <formula1>$AF$36:$AF$41</formula1>
    </dataValidation>
    <dataValidation type="list" allowBlank="1" showInputMessage="1" showErrorMessage="1" sqref="N16:Q16" xr:uid="{88B80160-6C58-429E-8A4E-4DF4B34EF503}">
      <formula1>$K$54:$K$58</formula1>
    </dataValidation>
    <dataValidation type="list" allowBlank="1" showInputMessage="1" showErrorMessage="1" sqref="H13:Q13" xr:uid="{DD447A1A-BD4C-4026-B823-104E4EE3879D}">
      <formula1>IF(M38="Salice",$L$38,$L$38:$L$42)</formula1>
    </dataValidation>
    <dataValidation type="list" allowBlank="1" showInputMessage="1" showErrorMessage="1" sqref="H15:Q15" xr:uid="{FDE46F2C-4FA1-4937-BD4C-22255BBE1808}">
      <formula1>$T$36:$T$44</formula1>
    </dataValidation>
    <dataValidation type="list" allowBlank="1" showInputMessage="1" showErrorMessage="1" sqref="P29:Q29" xr:uid="{E31D1E03-7329-4EA9-A83B-116ED695D5F8}">
      <formula1>$W$37:$W$38</formula1>
    </dataValidation>
    <dataValidation type="list" allowBlank="1" showInputMessage="1" showErrorMessage="1" sqref="H25:Q25" xr:uid="{0D23C044-3D04-490E-BC42-72680AD214AA}">
      <formula1>$AD$54:$AD$97</formula1>
    </dataValidation>
    <dataValidation type="list" allowBlank="1" showInputMessage="1" showErrorMessage="1" sqref="H17:Q17" xr:uid="{42DF4D0D-E3ED-4272-B897-3D4E3F45FEF3}">
      <formula1>$P$82:$P$90</formula1>
    </dataValidation>
    <dataValidation type="list" allowBlank="1" showInputMessage="1" showErrorMessage="1" sqref="F16:I16" xr:uid="{9F24C9EE-8B14-43C3-B5F5-617BCF831B30}">
      <formula1>$O$65:$O$84</formula1>
    </dataValidation>
    <dataValidation type="list" allowBlank="1" showInputMessage="1" showErrorMessage="1" sqref="H8:Q8" xr:uid="{F87F1FDE-8C7E-4849-B8E9-A96A1209C2D1}">
      <formula1>B36:B101</formula1>
    </dataValidation>
    <dataValidation type="whole" operator="lessThan" showInputMessage="1" showErrorMessage="1" sqref="AI30:AK30" xr:uid="{AC49DDB7-1652-43C8-A62F-EB9995B763D7}">
      <formula1>IF(AR14&lt;AI43+1,AJ43+1,AI43+1)</formula1>
    </dataValidation>
    <dataValidation type="whole" operator="lessThan" showErrorMessage="1" sqref="AR14:AR18" xr:uid="{307DFEFD-5C67-47FD-AF61-678B6ED8934A}">
      <formula1>IF(AI30&lt;AI43+1,AJ43+1,AI43+1)</formula1>
    </dataValidation>
  </dataValidations>
  <hyperlinks>
    <hyperlink ref="AP2:AS3" location="Hlavní!A1" display="Hlavní!A1" xr:uid="{14B25112-EBC0-42F2-AA33-5EA98EACDEA2}"/>
    <hyperlink ref="F5:H5" location="Ram_2!A1" display="Ram_2!A1" xr:uid="{CC5EC3D4-742D-4BBF-9C6F-6CAED23E3F7C}"/>
    <hyperlink ref="N5:P5" location="Ram_4!A1" display="Ram_4!A1" xr:uid="{737C2F70-62EB-4CE5-B64B-7D168ABF745B}"/>
    <hyperlink ref="R5:T5" location="Ram_5!A1" display="Ram_5!A1" xr:uid="{1D8543A0-78BA-4FA5-8285-BE974C1AC966}"/>
    <hyperlink ref="V5:X5" location="Ram_6!A1" display="Ram_6!A1" xr:uid="{BA196B42-F39C-49C0-98C7-56F292AFAC7C}"/>
    <hyperlink ref="B5:D5" location="Ram_1!A1" display="Ram_1!A1" xr:uid="{1BDCF851-33E6-4250-848C-116E4E77172A}"/>
    <hyperlink ref="AO31:AR32" location="_souhrn!A1" display="_souhrn!A1" xr:uid="{0FB6F79C-D89E-4181-9454-5061ECF8B450}"/>
    <hyperlink ref="J5:L5" location="Ram_3!A1" display="Ram_3!A1" xr:uid="{61C4F070-76F5-4910-9ED8-64ADA14D2666}"/>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4853" r:id="rId4"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954189" r:id="rId5" name="Check Box 2893">
              <controlPr defaultSize="0" autoFill="0" autoLine="0" autoPict="0">
                <anchor moveWithCells="1">
                  <from>
                    <xdr:col>5</xdr:col>
                    <xdr:colOff>57150</xdr:colOff>
                    <xdr:row>6</xdr:row>
                    <xdr:rowOff>171450</xdr:rowOff>
                  </from>
                  <to>
                    <xdr:col>5</xdr:col>
                    <xdr:colOff>266700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897C852-BBC5-4A16-9D8A-18181FD3F32A}">
          <x14:formula1>
            <xm:f>'závěsy dle výklopu'!$BW$2:$BW$5</xm:f>
          </x14:formula1>
          <xm:sqref>H27:Q27</xm:sqref>
        </x14:dataValidation>
        <x14:dataValidation type="list" allowBlank="1" showInputMessage="1" showErrorMessage="1" xr:uid="{CB502C5C-6391-4FE2-B304-1035307A30E0}">
          <x14:formula1>
            <xm:f>kombinace_1!$BY$13:$BY$15</xm:f>
          </x14:formula1>
          <xm:sqref>H9:Q9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2A0D-BB04-4BDF-A560-340B000DFB6F}">
  <sheetPr codeName="List21"/>
  <dimension ref="A1:FC758"/>
  <sheetViews>
    <sheetView topLeftCell="A25"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VLOOKUP(Ram_6!H8,kombinace_6!$A$3:$C$75,3,0)</f>
        <v>#N/A</v>
      </c>
      <c r="S1" t="e">
        <f>CONCATENATE("_",R1,V1)</f>
        <v>#N/A</v>
      </c>
      <c r="U1" s="173" t="s">
        <v>996</v>
      </c>
      <c r="V1" s="2">
        <f>IFERROR(VLOOKUP(Ram_6!H21,$EN$3:$EO$5,2,0),1)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CONCATENATE("_",Ram_6!H12,"_",Ram_6!H13)</f>
        <v>__</v>
      </c>
      <c r="BV2" t="s">
        <v>1013</v>
      </c>
      <c r="BW2" t="s">
        <v>1009</v>
      </c>
      <c r="BY2" t="s">
        <v>110</v>
      </c>
      <c r="CA2" t="s">
        <v>1032</v>
      </c>
      <c r="CD2" t="s">
        <v>1106</v>
      </c>
      <c r="CF2" t="s">
        <v>1328</v>
      </c>
      <c r="DN2" t="str">
        <f>'Translate&amp;Prices&amp;Logo'!B555</f>
        <v>Nakładany</v>
      </c>
      <c r="DP2" t="str">
        <f>'Translate&amp;Prices&amp;Logo'!$B$553</f>
        <v>Zawiasy</v>
      </c>
      <c r="DQ2">
        <v>2</v>
      </c>
      <c r="ED2" t="s">
        <v>1649</v>
      </c>
      <c r="EE2" t="s">
        <v>3183</v>
      </c>
      <c r="ER2" t="s">
        <v>2153</v>
      </c>
      <c r="ES2" t="s">
        <v>2158</v>
      </c>
      <c r="EV2">
        <v>2</v>
      </c>
      <c r="EW2" t="s">
        <v>2175</v>
      </c>
      <c r="EY2" s="206" t="str">
        <f>'Translate&amp;Prices&amp;Logo'!B166</f>
        <v>siatka alu złota - oko 10x6x1 mm</v>
      </c>
      <c r="FA2" s="34" t="str">
        <f>'Translate&amp;Prices&amp;Logo'!B646</f>
        <v>520405 SALICE AIR SOFT zawiasy niklowe o kącie otwarcia 92° kpl. 2 szt</v>
      </c>
      <c r="FC2" t="b">
        <v>0</v>
      </c>
    </row>
    <row r="3" spans="1:159">
      <c r="A3" t="str">
        <f>'Translate&amp;Prices&amp;Logo'!$B$6</f>
        <v>BRW (elox.) - maksymalna zalecana długość profilu 2500 mm</v>
      </c>
      <c r="B3">
        <v>1</v>
      </c>
      <c r="C3" t="s">
        <v>651</v>
      </c>
      <c r="D3">
        <v>1</v>
      </c>
      <c r="F3" t="s">
        <v>950</v>
      </c>
      <c r="G3" t="s">
        <v>382</v>
      </c>
      <c r="H3" t="s">
        <v>951</v>
      </c>
      <c r="I3">
        <v>1</v>
      </c>
      <c r="J3">
        <v>2</v>
      </c>
      <c r="K3" t="s">
        <v>651</v>
      </c>
      <c r="M3" t="s">
        <v>952</v>
      </c>
      <c r="N3" t="s">
        <v>554</v>
      </c>
      <c r="X3" t="str">
        <f>'Translate&amp;Prices&amp;Logo'!$B$565</f>
        <v>transparentna</v>
      </c>
      <c r="Y3">
        <v>1</v>
      </c>
      <c r="AA3" t="s">
        <v>2079</v>
      </c>
      <c r="AB3" t="s">
        <v>1009</v>
      </c>
      <c r="AF3" t="s">
        <v>105</v>
      </c>
      <c r="AG3" t="s">
        <v>2373</v>
      </c>
      <c r="AY3" t="s">
        <v>984</v>
      </c>
      <c r="BK3" t="s">
        <v>105</v>
      </c>
      <c r="BU3" t="e">
        <f>VLOOKUP(BU2,BV2:BW9,2,0)</f>
        <v>#N/A</v>
      </c>
      <c r="BV3" t="s">
        <v>1015</v>
      </c>
      <c r="BW3" t="s">
        <v>1012</v>
      </c>
      <c r="BY3" t="str">
        <f>'Translate&amp;Prices&amp;Logo'!$B$232</f>
        <v>W lewo</v>
      </c>
      <c r="BZ3">
        <v>1</v>
      </c>
      <c r="CA3">
        <v>32</v>
      </c>
      <c r="CD3" t="s">
        <v>2370</v>
      </c>
      <c r="CE3">
        <v>1</v>
      </c>
      <c r="CF3">
        <v>1</v>
      </c>
      <c r="DN3" t="e">
        <f>IF(OR(Ram_6!$H$13&amp;Ram_6!$AU$7=Ram_6!$M$44,
Ram_6!$H$13&amp;Ram_6!$AU$7=Ram_6!$M$45,
Ram_6!$H$13&amp;Ram_6!$AU$7=Ram_6!$M$46,
Ram_6!$H$13&amp;Ram_6!$AU$7=Ram_6!$M$47),
'Translate&amp;Prices&amp;Logo'!B659,'Translate&amp;Prices&amp;Logo'!B556)</f>
        <v>#N/A</v>
      </c>
      <c r="DP3" t="str">
        <f>'Translate&amp;Prices&amp;Logo'!$B$554</f>
        <v>Podnośniki</v>
      </c>
      <c r="DQ3">
        <v>3</v>
      </c>
      <c r="ED3" t="s">
        <v>1650</v>
      </c>
      <c r="EE3" t="s">
        <v>3186</v>
      </c>
      <c r="EJ3">
        <v>1</v>
      </c>
      <c r="EK3" t="s">
        <v>113</v>
      </c>
      <c r="EN3" t="str">
        <f>'Translate&amp;Prices&amp;Logo'!B640</f>
        <v>Bez modyfikacji</v>
      </c>
      <c r="EO3">
        <v>1</v>
      </c>
      <c r="ER3" t="s">
        <v>2151</v>
      </c>
      <c r="ES3" t="s">
        <v>2159</v>
      </c>
      <c r="EV3">
        <v>3</v>
      </c>
      <c r="EW3" t="s">
        <v>2176</v>
      </c>
      <c r="EY3" s="206" t="str">
        <f>'Translate&amp;Prices&amp;Logo'!B167</f>
        <v>siatka stal czarny mat RAL 9005– oko 8x4x1 mm</v>
      </c>
      <c r="FA3" s="34" t="str">
        <f>'Translate&amp;Prices&amp;Logo'!B647</f>
        <v>520406 SALICE AIR PUSH TO OPEN zawiasy niklowe z zestawem adapterów 2 szt</v>
      </c>
    </row>
    <row r="4" spans="1:159">
      <c r="A4" t="str">
        <f>'Translate&amp;Prices&amp;Logo'!$B$8</f>
        <v>BRW bialy matowy RAL 9003 - maksymalna zalecana długość profilu 2500 mm</v>
      </c>
      <c r="B4">
        <v>1</v>
      </c>
      <c r="C4" t="s">
        <v>651</v>
      </c>
      <c r="D4">
        <v>0</v>
      </c>
      <c r="G4" t="s">
        <v>951</v>
      </c>
      <c r="H4" t="s">
        <v>382</v>
      </c>
      <c r="I4">
        <v>0</v>
      </c>
      <c r="J4">
        <v>2</v>
      </c>
      <c r="K4" t="s">
        <v>651</v>
      </c>
      <c r="M4" t="s">
        <v>955</v>
      </c>
      <c r="N4" t="s">
        <v>856</v>
      </c>
      <c r="X4" t="str">
        <f>'Translate&amp;Prices&amp;Logo'!$B$566</f>
        <v>Biała</v>
      </c>
      <c r="Y4">
        <v>2</v>
      </c>
      <c r="AA4" t="s">
        <v>954</v>
      </c>
      <c r="AB4" t="s">
        <v>2370</v>
      </c>
      <c r="AC4">
        <v>1</v>
      </c>
      <c r="AD4">
        <v>1</v>
      </c>
      <c r="AF4" t="s">
        <v>106</v>
      </c>
      <c r="AG4" t="s">
        <v>2373</v>
      </c>
      <c r="AY4" t="s">
        <v>984</v>
      </c>
      <c r="AZ4" t="s">
        <v>1017</v>
      </c>
      <c r="BK4" t="s">
        <v>106</v>
      </c>
      <c r="BV4" t="s">
        <v>1016</v>
      </c>
      <c r="BW4" t="s">
        <v>1011</v>
      </c>
      <c r="BY4" t="str">
        <f>'Translate&amp;Prices&amp;Logo'!$B$231</f>
        <v>W prawo</v>
      </c>
      <c r="BZ4">
        <v>2</v>
      </c>
      <c r="CA4">
        <v>64</v>
      </c>
      <c r="CD4" t="s">
        <v>2150</v>
      </c>
      <c r="CE4">
        <v>1</v>
      </c>
      <c r="CF4">
        <v>0</v>
      </c>
      <c r="DN4" t="e">
        <f>IF(OR(Ram_6!$H$13&amp;Ram_6!$AU$7=Ram_6!$M$44,
Ram_6!$H$13&amp;Ram_6!$AU$7=Ram_6!$M$45,
Ram_6!$H$13&amp;Ram_6!$AU$7=Ram_6!$M$46,
Ram_6!$H$13&amp;Ram_6!$AU$7=Ram_6!$M$47),
'Translate&amp;Prices&amp;Logo'!B659,'Translate&amp;Prices&amp;Logo'!B557)</f>
        <v>#N/A</v>
      </c>
      <c r="ED4" t="s">
        <v>1651</v>
      </c>
      <c r="EE4" t="s">
        <v>3188</v>
      </c>
      <c r="EJ4">
        <v>2</v>
      </c>
      <c r="EK4" t="s">
        <v>114</v>
      </c>
      <c r="EN4" t="str">
        <f>'Translate&amp;Prices&amp;Logo'!B641</f>
        <v>Hartowane (termin dostawy 4 tygodnie)</v>
      </c>
      <c r="EO4">
        <v>2</v>
      </c>
      <c r="ER4" t="s">
        <v>2445</v>
      </c>
      <c r="ES4" t="s">
        <v>2446</v>
      </c>
      <c r="EV4">
        <v>4</v>
      </c>
      <c r="EW4" t="s">
        <v>2177</v>
      </c>
      <c r="EY4" s="206" t="str">
        <f>'Translate&amp;Prices&amp;Logo'!B168</f>
        <v>siatka stalowa biała - oko 8x4x1 mm</v>
      </c>
      <c r="FA4" s="34" t="str">
        <f>'Translate&amp;Prices&amp;Logo'!B648</f>
        <v>520407 SALICE AIR PUSH TO OPEN zawiasy niklowe z zestawem adapterów 2 szt</v>
      </c>
    </row>
    <row r="5" spans="1:159">
      <c r="A5" t="str">
        <f>'Translate&amp;Prices&amp;Logo'!$B$9</f>
        <v>BRW bialy połysk RAL 9003 - maksymalna zalecana długość profilu 2500 mm</v>
      </c>
      <c r="B5">
        <v>1</v>
      </c>
      <c r="C5" t="s">
        <v>651</v>
      </c>
      <c r="D5">
        <v>0</v>
      </c>
      <c r="F5" t="s">
        <v>957</v>
      </c>
      <c r="G5" t="s">
        <v>381</v>
      </c>
      <c r="H5" t="s">
        <v>951</v>
      </c>
      <c r="I5">
        <v>1</v>
      </c>
      <c r="J5">
        <v>2</v>
      </c>
      <c r="K5" t="s">
        <v>651</v>
      </c>
      <c r="M5" t="s">
        <v>958</v>
      </c>
      <c r="N5" t="s">
        <v>556</v>
      </c>
      <c r="X5" t="str">
        <f>'Translate&amp;Prices&amp;Logo'!$B$567</f>
        <v>czarna</v>
      </c>
      <c r="Y5">
        <v>3</v>
      </c>
      <c r="AA5" t="s">
        <v>954</v>
      </c>
      <c r="AB5" t="s">
        <v>2374</v>
      </c>
      <c r="AC5">
        <v>0</v>
      </c>
      <c r="AD5">
        <v>0</v>
      </c>
      <c r="AF5" t="s">
        <v>105</v>
      </c>
      <c r="AG5" t="s">
        <v>2375</v>
      </c>
      <c r="AY5" t="s">
        <v>984</v>
      </c>
      <c r="AZ5" t="s">
        <v>1018</v>
      </c>
      <c r="BK5" t="s">
        <v>961</v>
      </c>
      <c r="BV5" t="s">
        <v>2497</v>
      </c>
      <c r="BW5" t="s">
        <v>2498</v>
      </c>
      <c r="BY5" t="str">
        <f>'Translate&amp;Prices&amp;Logo'!$B$229</f>
        <v>W górę</v>
      </c>
      <c r="BZ5">
        <v>3</v>
      </c>
      <c r="CA5">
        <v>76</v>
      </c>
      <c r="CD5" t="s">
        <v>964</v>
      </c>
      <c r="CE5">
        <v>1</v>
      </c>
      <c r="CF5">
        <v>0</v>
      </c>
      <c r="ED5" t="s">
        <v>1652</v>
      </c>
      <c r="EE5" t="s">
        <v>3189</v>
      </c>
      <c r="EJ5">
        <v>3</v>
      </c>
      <c r="EK5" t="s">
        <v>74</v>
      </c>
      <c r="EN5" t="str">
        <f>IF(Ram_6!H25="",'Translate&amp;Prices&amp;Logo'!B642,"")</f>
        <v>Folia</v>
      </c>
      <c r="EO5">
        <v>3</v>
      </c>
      <c r="ER5" t="s">
        <v>2447</v>
      </c>
      <c r="ES5" t="s">
        <v>2448</v>
      </c>
      <c r="EV5">
        <v>5</v>
      </c>
      <c r="EW5" t="s">
        <v>2175</v>
      </c>
      <c r="EY5" s="206" t="str">
        <f>'Translate&amp;Prices&amp;Logo'!B169</f>
        <v>siatka elox - oko 10x6x1 mm</v>
      </c>
      <c r="FA5" s="34" t="str">
        <f>'Translate&amp;Prices&amp;Logo'!B649</f>
        <v>520408 SALICE AIR SOFT zawiasy niklowe z zestawem adapterów 2 szt</v>
      </c>
    </row>
    <row r="6" spans="1:159">
      <c r="A6" t="str">
        <f>'Translate&amp;Prices&amp;Logo'!$B$11</f>
        <v>BRW szczotkowany - maksymalna zalecana długość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W dół</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zawiasy o kącie otwarcia 92° kpl. 2 szt</v>
      </c>
    </row>
    <row r="7" spans="1:159">
      <c r="A7" t="str">
        <f>'Translate&amp;Prices&amp;Logo'!$B$12</f>
        <v>BRW Czarny matowy - maksymalna zalecana długość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zawiasy komplet 2 szt</v>
      </c>
    </row>
    <row r="8" spans="1:159">
      <c r="A8" t="str">
        <f>'Translate&amp;Prices&amp;Logo'!$B$14</f>
        <v>BRW czarna szczotka - maksymalna zalecana długość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zawiasy z zestawem adapterów 2 szt</v>
      </c>
    </row>
    <row r="9" spans="1:159">
      <c r="A9" t="str">
        <f>'Translate&amp;Prices&amp;Logo'!$B$15</f>
        <v>BRW INOX ACIER gratta - maksymalna zalecana długość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zawiasy z zestawem adapterów 2 szt</v>
      </c>
    </row>
    <row r="10" spans="1:159">
      <c r="A10" t="str">
        <f>'Translate&amp;Prices&amp;Logo'!$B$7</f>
        <v>BRW antracyt RAL 7021 - maksymalna zalecana długość profilu 2500 mm</v>
      </c>
      <c r="B10">
        <v>1</v>
      </c>
      <c r="C10" t="s">
        <v>651</v>
      </c>
      <c r="D10">
        <v>0</v>
      </c>
      <c r="M10" t="str">
        <f>'Translate&amp;Prices&amp;Logo'!B560</f>
        <v>Poziomo (termin dostawy 4 tygodnie)</v>
      </c>
      <c r="N10">
        <f>IF(Ram_6!$H$9=kombinace_6!M10,1,0)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maksymalna zalecana długość profilu 2500 mm</v>
      </c>
      <c r="B11">
        <v>1</v>
      </c>
      <c r="C11" t="s">
        <v>651</v>
      </c>
      <c r="D11">
        <v>0</v>
      </c>
      <c r="M11" t="str">
        <f>'Translate&amp;Prices&amp;Logo'!B561</f>
        <v>Pionowo (termin dostawy 4 tygodnie)</v>
      </c>
      <c r="N11">
        <f>IF(Ram_6!$H$9=kombinace_6!M11,2,0)</f>
        <v>0</v>
      </c>
      <c r="AC11">
        <v>0</v>
      </c>
      <c r="AD11">
        <v>0</v>
      </c>
      <c r="AF11" t="s">
        <v>105</v>
      </c>
      <c r="AG11" t="s">
        <v>969</v>
      </c>
      <c r="AY11" t="s">
        <v>954</v>
      </c>
      <c r="AZ11" t="s">
        <v>1023</v>
      </c>
      <c r="BQ11" s="208" t="s">
        <v>2263</v>
      </c>
      <c r="BY11">
        <v>5</v>
      </c>
      <c r="CA11">
        <v>240</v>
      </c>
      <c r="CD11" t="str">
        <f>CONCATENATE('Translate&amp;Prices&amp;Logo'!B666,"_K12")</f>
        <v>dolny_K12</v>
      </c>
      <c r="CE11">
        <v>1</v>
      </c>
      <c r="CF11">
        <v>0</v>
      </c>
      <c r="DN11" t="s">
        <v>69</v>
      </c>
      <c r="DO11" s="2" t="s">
        <v>69</v>
      </c>
      <c r="ED11" t="s">
        <v>1658</v>
      </c>
      <c r="EE11" t="s">
        <v>1752</v>
      </c>
      <c r="ER11" t="s">
        <v>2155</v>
      </c>
      <c r="ES11" t="s">
        <v>2161</v>
      </c>
    </row>
    <row r="12" spans="1:159">
      <c r="A12" t="str">
        <f>'Translate&amp;Prices&amp;Logo'!$B$72</f>
        <v>BRW champagne light - maksymalna zalecana długość profilu 2500 mm</v>
      </c>
      <c r="B12">
        <v>1</v>
      </c>
      <c r="C12" t="s">
        <v>651</v>
      </c>
      <c r="D12">
        <v>0</v>
      </c>
      <c r="M12" t="str">
        <f>'Translate&amp;Prices&amp;Logo'!B562</f>
        <v>Poziomo i pionowo (termin dostawy 4 tygodnie)</v>
      </c>
      <c r="N12">
        <f>IF(Ram_6!$H$9=kombinace_6!M12,3,0)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brąz - maksymalna zalecana długość profilu 2500 mm</v>
      </c>
      <c r="B13">
        <v>1</v>
      </c>
      <c r="C13" t="s">
        <v>651</v>
      </c>
      <c r="D13">
        <v>0</v>
      </c>
      <c r="AC13">
        <v>0</v>
      </c>
      <c r="AD13">
        <v>0</v>
      </c>
      <c r="AF13" t="s">
        <v>105</v>
      </c>
      <c r="AG13" t="s">
        <v>972</v>
      </c>
      <c r="AY13" t="s">
        <v>954</v>
      </c>
      <c r="AZ13" t="s">
        <v>1025</v>
      </c>
      <c r="BQ13" s="209"/>
      <c r="BR13" t="s">
        <v>966</v>
      </c>
      <c r="BY13" t="str">
        <f>'Translate&amp;Prices&amp;Logo'!$B$560</f>
        <v>Poziomo (termin dostawy 4 tygodnie)</v>
      </c>
      <c r="BZ13">
        <v>1</v>
      </c>
      <c r="CA13">
        <v>288</v>
      </c>
      <c r="CD13" t="str">
        <f>CONCATENATE('Translate&amp;Prices&amp;Logo'!B666,"_kraby")</f>
        <v>dolny_kraby</v>
      </c>
      <c r="CE13">
        <v>1</v>
      </c>
      <c r="CF13">
        <v>0</v>
      </c>
      <c r="DN13" t="s">
        <v>220</v>
      </c>
      <c r="DO13" s="2" t="s">
        <v>68</v>
      </c>
      <c r="ED13" t="s">
        <v>2507</v>
      </c>
      <c r="EE13" t="s">
        <v>2506</v>
      </c>
      <c r="ER13" t="s">
        <v>2157</v>
      </c>
      <c r="ES13" t="s">
        <v>2157</v>
      </c>
    </row>
    <row r="14" spans="1:159">
      <c r="A14" t="str">
        <f>'Translate&amp;Prices&amp;Logo'!$B$16</f>
        <v>BRW INOX LIJA - maksymalna zalecana długość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Pionowo (termin dostawy 4 tygodnie)</v>
      </c>
      <c r="BZ14">
        <v>2</v>
      </c>
      <c r="CA14">
        <v>320</v>
      </c>
      <c r="CD14" t="s">
        <v>980</v>
      </c>
      <c r="CE14">
        <v>1</v>
      </c>
      <c r="CF14">
        <v>0</v>
      </c>
      <c r="DN14" t="s">
        <v>221</v>
      </c>
      <c r="DO14" s="2" t="s">
        <v>69</v>
      </c>
      <c r="ED14" t="s">
        <v>1660</v>
      </c>
      <c r="EE14" t="s">
        <v>1754</v>
      </c>
      <c r="ER14" t="s">
        <v>2158</v>
      </c>
      <c r="ES14" t="s">
        <v>2158</v>
      </c>
    </row>
    <row r="15" spans="1:159">
      <c r="A15" t="str">
        <f>'Translate&amp;Prices&amp;Logo'!$B$64</f>
        <v>BRW kaszmirowy - maksymalna zalecana długość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Poziomo i pionowo (termin dostawy 4 tygodnie)</v>
      </c>
      <c r="BZ15">
        <v>3</v>
      </c>
      <c r="CA15">
        <v>384</v>
      </c>
      <c r="CD15" t="s">
        <v>981</v>
      </c>
      <c r="CE15">
        <v>1</v>
      </c>
      <c r="CF15">
        <v>0</v>
      </c>
      <c r="DN15" t="s">
        <v>1145</v>
      </c>
      <c r="DO15" s="2" t="s">
        <v>70</v>
      </c>
      <c r="ED15" t="s">
        <v>1661</v>
      </c>
      <c r="EE15" t="s">
        <v>1755</v>
      </c>
      <c r="ER15" t="s">
        <v>2159</v>
      </c>
      <c r="ES15" t="s">
        <v>2159</v>
      </c>
    </row>
    <row r="16" spans="1:159">
      <c r="A16" t="str">
        <f>'Translate&amp;Prices&amp;Logo'!$B$13</f>
        <v>BRW złota- maksymalna zalecana długość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StrongLift_gorny</v>
      </c>
      <c r="CE16">
        <v>1</v>
      </c>
      <c r="CF16">
        <v>1</v>
      </c>
      <c r="DN16" t="s">
        <v>284</v>
      </c>
      <c r="DO16" s="2" t="s">
        <v>68</v>
      </c>
      <c r="ED16" t="s">
        <v>1662</v>
      </c>
      <c r="EE16" t="s">
        <v>1756</v>
      </c>
      <c r="ER16" t="s">
        <v>2446</v>
      </c>
      <c r="ES16" t="s">
        <v>2446</v>
      </c>
      <c r="FC16" s="244"/>
    </row>
    <row r="17" spans="1:159">
      <c r="A17" t="str">
        <f>'Translate&amp;Prices&amp;Logo'!$B$55</f>
        <v>BRW złota szczotkowany - maksymalna zalecana zalecana długość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StrongLift_dolny</v>
      </c>
      <c r="CE17">
        <v>1</v>
      </c>
      <c r="CF17">
        <v>1</v>
      </c>
      <c r="DN17" t="s">
        <v>1244</v>
      </c>
      <c r="DO17" s="2" t="s">
        <v>69</v>
      </c>
      <c r="ED17" t="s">
        <v>1663</v>
      </c>
      <c r="EE17" t="s">
        <v>1757</v>
      </c>
      <c r="ER17" t="s">
        <v>2448</v>
      </c>
      <c r="ES17" t="s">
        <v>2448</v>
      </c>
      <c r="FC17" s="244"/>
    </row>
    <row r="18" spans="1:159">
      <c r="A18" t="str">
        <f>'Translate&amp;Prices&amp;Logo'!$B$17</f>
        <v>Corleone (elox.)- maksymalna zalecana długość profilu 1500 mm</v>
      </c>
      <c r="B18">
        <v>2</v>
      </c>
      <c r="C18" t="s">
        <v>651</v>
      </c>
      <c r="D18">
        <v>0</v>
      </c>
      <c r="E18">
        <v>3</v>
      </c>
      <c r="F18" t="str">
        <f>'Translate&amp;Prices&amp;Logo'!$B$82</f>
        <v>Rocca elox (lewa i prawa) + Varna elox (góra i dół)</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czarny matowy - maksymalna zalecana długość profilu 1500 mm</v>
      </c>
      <c r="B19">
        <v>2</v>
      </c>
      <c r="C19" t="s">
        <v>651</v>
      </c>
      <c r="D19">
        <v>0</v>
      </c>
      <c r="F19" t="str">
        <f>'Translate&amp;Prices&amp;Logo'!$B$83</f>
        <v>Rocca czarny (lewa i prawa) + Varna czarny (góra i dół)</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czarne  - maksymalna zalecana długość profilu 2150</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antracyt mat RAL 7021 mat lakier - maksymalna zalecana długość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maksymalna zalecana długość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Czarny matowy - maksymalna zalecana długość profilu 2500 mm</v>
      </c>
      <c r="B23">
        <v>2</v>
      </c>
      <c r="C23" t="s">
        <v>998</v>
      </c>
      <c r="D23">
        <v>0</v>
      </c>
      <c r="AA23" t="s">
        <v>966</v>
      </c>
      <c r="AB23" t="e">
        <f>IF(Ram_6!AU7=2,"FREEspace","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bialy matowy RAL 9003 - maksymalna zalecana długość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złota - maksymalna zalecana zalecana długość profilu 2150 mm</v>
      </c>
      <c r="B25">
        <v>2</v>
      </c>
      <c r="C25" t="s">
        <v>998</v>
      </c>
      <c r="D25">
        <v>0</v>
      </c>
      <c r="AF25" t="s">
        <v>105</v>
      </c>
      <c r="AG25" t="s">
        <v>980</v>
      </c>
      <c r="ED25" t="s">
        <v>1671</v>
      </c>
      <c r="EE25" t="s">
        <v>3200</v>
      </c>
      <c r="ER25" t="s">
        <v>2167</v>
      </c>
      <c r="ES25" t="s">
        <v>2167</v>
      </c>
    </row>
    <row r="26" spans="1:159">
      <c r="A26" t="str">
        <f>'Translate&amp;Prices&amp;Logo'!$B$22</f>
        <v>Modena (elox.) - maksymalna zalecana długość profilu 2500 mm</v>
      </c>
      <c r="B26">
        <v>2</v>
      </c>
      <c r="C26" t="s">
        <v>651</v>
      </c>
      <c r="D26">
        <v>0</v>
      </c>
      <c r="AF26" t="s">
        <v>106</v>
      </c>
      <c r="AG26" t="s">
        <v>980</v>
      </c>
      <c r="ED26" t="s">
        <v>1672</v>
      </c>
      <c r="EE26" t="s">
        <v>3201</v>
      </c>
      <c r="ER26" t="s">
        <v>2168</v>
      </c>
      <c r="ES26" t="s">
        <v>2168</v>
      </c>
    </row>
    <row r="27" spans="1:159">
      <c r="A27" t="str">
        <f>'Translate&amp;Prices&amp;Logo'!$B$23</f>
        <v>Modena Czarny matowy - maksymalna zalecana długość profilu 2500 mm</v>
      </c>
      <c r="B27">
        <v>2</v>
      </c>
      <c r="C27" t="s">
        <v>651</v>
      </c>
      <c r="D27">
        <v>0</v>
      </c>
      <c r="AF27" t="s">
        <v>105</v>
      </c>
      <c r="AG27" t="s">
        <v>981</v>
      </c>
      <c r="ED27" t="s">
        <v>1673</v>
      </c>
      <c r="EE27" t="s">
        <v>3203</v>
      </c>
      <c r="ER27" t="s">
        <v>2169</v>
      </c>
      <c r="ES27" t="s">
        <v>2169</v>
      </c>
    </row>
    <row r="28" spans="1:159">
      <c r="A28" t="str">
        <f>'Translate&amp;Prices&amp;Logo'!$B$25</f>
        <v>Modena czarna szczotka - maksymalna zalecana długość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INOX LIJA - maksymalna zalecana długość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brąz - maksymalna zalecana długość profilu 2500 mm</v>
      </c>
      <c r="B30">
        <v>2</v>
      </c>
      <c r="C30" t="s">
        <v>651</v>
      </c>
      <c r="D30">
        <v>0</v>
      </c>
      <c r="AA30" t="s">
        <v>976</v>
      </c>
      <c r="AB30" t="str">
        <f>CONCATENATE('Translate&amp;Prices&amp;Logo'!B666,"_K12")</f>
        <v>dolny_K12</v>
      </c>
      <c r="AC30">
        <v>1</v>
      </c>
      <c r="AD30">
        <v>0</v>
      </c>
      <c r="AF30" t="s">
        <v>106</v>
      </c>
      <c r="AG30" t="s">
        <v>982</v>
      </c>
      <c r="ED30" t="s">
        <v>1676</v>
      </c>
      <c r="EE30" t="s">
        <v>3206</v>
      </c>
      <c r="ER30" t="s">
        <v>2459</v>
      </c>
      <c r="ES30" t="s">
        <v>2459</v>
      </c>
    </row>
    <row r="31" spans="1:159">
      <c r="A31" t="str">
        <f>'Translate&amp;Prices&amp;Logo'!$B$29</f>
        <v>Pisa (elox.) - maksymalna zalecana długość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biały matowy RAL 9003 - maksymalna zalecana zalecana długość profilu 2500 mm</v>
      </c>
      <c r="B32">
        <v>2</v>
      </c>
      <c r="C32" t="s">
        <v>998</v>
      </c>
      <c r="D32">
        <v>0</v>
      </c>
      <c r="AA32" t="s">
        <v>976</v>
      </c>
      <c r="AB32" t="str">
        <f>CONCATENATE('Translate&amp;Prices&amp;Logo'!B666,"_kraby")</f>
        <v>dolny_kraby</v>
      </c>
      <c r="AC32">
        <v>1</v>
      </c>
      <c r="AD32">
        <v>0</v>
      </c>
      <c r="AF32" t="s">
        <v>106</v>
      </c>
      <c r="AG32" t="s">
        <v>983</v>
      </c>
      <c r="BY32" t="str">
        <f>'Translate&amp;Prices&amp;Logo'!$B$232</f>
        <v>W lewo</v>
      </c>
      <c r="BZ32" t="str">
        <f>'Translate&amp;Prices&amp;Logo'!$B$244&amp;" "&amp;'Translate&amp;Prices&amp;Logo'!$B$593</f>
        <v>Odległość od lewej krawędzi (górnej)</v>
      </c>
      <c r="CA32" t="str">
        <f>'Translate&amp;Prices&amp;Logo'!$B$244&amp;" "&amp;'Translate&amp;Prices&amp;Logo'!$B$591</f>
        <v>Odległość od lewej krawędzi (dolnej)</v>
      </c>
      <c r="CC32" t="s">
        <v>4537</v>
      </c>
      <c r="CD32" t="s">
        <v>4532</v>
      </c>
      <c r="ED32" t="s">
        <v>1678</v>
      </c>
      <c r="EE32" t="s">
        <v>3208</v>
      </c>
      <c r="ER32" t="s">
        <v>2461</v>
      </c>
      <c r="ES32" t="s">
        <v>2461</v>
      </c>
    </row>
    <row r="33" spans="1:149">
      <c r="A33" t="str">
        <f>'Translate&amp;Prices&amp;Logo'!$B$53</f>
        <v>Pisa biały połysk RAL 9003 - maksymalna zalecana zalecana długość profilu 2500 mm</v>
      </c>
      <c r="B33">
        <v>2</v>
      </c>
      <c r="C33" t="s">
        <v>998</v>
      </c>
      <c r="D33">
        <v>0</v>
      </c>
      <c r="AA33" t="s">
        <v>976</v>
      </c>
      <c r="AB33" t="s">
        <v>980</v>
      </c>
      <c r="AC33">
        <v>1</v>
      </c>
      <c r="AD33">
        <v>0</v>
      </c>
      <c r="AF33" t="s">
        <v>105</v>
      </c>
      <c r="AG33" t="s">
        <v>985</v>
      </c>
      <c r="BY33" t="str">
        <f>'Translate&amp;Prices&amp;Logo'!$B$231</f>
        <v>W prawo</v>
      </c>
      <c r="BZ33" t="str">
        <f>'Translate&amp;Prices&amp;Logo'!$B$645&amp;" "&amp;'Translate&amp;Prices&amp;Logo'!$B$593</f>
        <v>Odległość od prawej krawędzi (górnej)</v>
      </c>
      <c r="CA33" t="str">
        <f>'Translate&amp;Prices&amp;Logo'!$B$645&amp;" "&amp;'Translate&amp;Prices&amp;Logo'!$B$591</f>
        <v>Odległość od prawej krawędzi (dolnej)</v>
      </c>
      <c r="CC33" t="s">
        <v>4540</v>
      </c>
      <c r="CD33" t="s">
        <v>4538</v>
      </c>
      <c r="ED33" t="s">
        <v>1679</v>
      </c>
      <c r="EE33" t="s">
        <v>3209</v>
      </c>
      <c r="ER33" t="s">
        <v>2462</v>
      </c>
      <c r="ES33" t="s">
        <v>2462</v>
      </c>
    </row>
    <row r="34" spans="1:149">
      <c r="A34" t="str">
        <f>'Translate&amp;Prices&amp;Logo'!$B$30</f>
        <v>Pisa Czarny matowy - maksymalna zalecana długość profilu 2500 mm</v>
      </c>
      <c r="B34">
        <v>2</v>
      </c>
      <c r="C34" t="s">
        <v>998</v>
      </c>
      <c r="D34">
        <v>0</v>
      </c>
      <c r="AA34" t="s">
        <v>976</v>
      </c>
      <c r="AB34" t="s">
        <v>981</v>
      </c>
      <c r="AC34">
        <v>1</v>
      </c>
      <c r="AD34">
        <v>0</v>
      </c>
      <c r="AF34" t="s">
        <v>106</v>
      </c>
      <c r="AG34" t="s">
        <v>985</v>
      </c>
      <c r="BY34" t="str">
        <f>'Translate&amp;Prices&amp;Logo'!$B$229</f>
        <v>W górę</v>
      </c>
      <c r="BZ34" t="str">
        <f>'Translate&amp;Prices&amp;Logo'!$B$674&amp;" "&amp;'Translate&amp;Prices&amp;Logo'!$B$592</f>
        <v>Odległość od górnej krawędzi (lewej)</v>
      </c>
      <c r="CA34" t="str">
        <f>'Translate&amp;Prices&amp;Logo'!$B$674&amp;" "&amp;'Translate&amp;Prices&amp;Logo'!$B$594</f>
        <v>Odległość od górnej krawędzi (prawej)</v>
      </c>
      <c r="CC34" t="s">
        <v>4534</v>
      </c>
      <c r="CD34" t="s">
        <v>4536</v>
      </c>
      <c r="ED34" t="s">
        <v>1680</v>
      </c>
      <c r="EE34" t="s">
        <v>3210</v>
      </c>
      <c r="ER34" t="s">
        <v>2170</v>
      </c>
      <c r="ES34" t="s">
        <v>2170</v>
      </c>
    </row>
    <row r="35" spans="1:149">
      <c r="A35" t="str">
        <f>'Translate&amp;Prices&amp;Logo'!$B$58</f>
        <v>Pisa złota - maksymalna zalecana długość profilu 2150 mm</v>
      </c>
      <c r="B35">
        <v>2</v>
      </c>
      <c r="C35" t="s">
        <v>998</v>
      </c>
      <c r="D35">
        <v>0</v>
      </c>
      <c r="BY35" t="str">
        <f>'Translate&amp;Prices&amp;Logo'!$B$230</f>
        <v>W dół</v>
      </c>
      <c r="BZ35" t="str">
        <f>'Translate&amp;Prices&amp;Logo'!$B$675&amp;" "&amp;'Translate&amp;Prices&amp;Logo'!$B$592</f>
        <v>Odległość od dolnej krawędzi (lewej)</v>
      </c>
      <c r="CA35" t="str">
        <f>'Translate&amp;Prices&amp;Logo'!$B$675&amp;" "&amp;'Translate&amp;Prices&amp;Logo'!$B$594</f>
        <v>Odległość od dolnej krawędzi (prawej)</v>
      </c>
      <c r="CC35" t="s">
        <v>4533</v>
      </c>
      <c r="CD35" t="s">
        <v>4535</v>
      </c>
      <c r="ED35" t="s">
        <v>1681</v>
      </c>
      <c r="EE35" t="s">
        <v>1775</v>
      </c>
      <c r="ER35" t="s">
        <v>2171</v>
      </c>
      <c r="ES35" t="s">
        <v>2171</v>
      </c>
    </row>
    <row r="36" spans="1:149">
      <c r="A36" t="str">
        <f>'Translate&amp;Prices&amp;Logo'!$B$66</f>
        <v>Rimini elox naturalna - maksymalna długość profilu 1100 mm</v>
      </c>
      <c r="B36">
        <v>1</v>
      </c>
      <c r="C36" t="s">
        <v>651</v>
      </c>
      <c r="D36">
        <v>0</v>
      </c>
      <c r="ED36" t="s">
        <v>1620</v>
      </c>
      <c r="EE36" t="s">
        <v>1776</v>
      </c>
      <c r="ER36" t="s">
        <v>2172</v>
      </c>
      <c r="ES36" t="s">
        <v>2172</v>
      </c>
    </row>
    <row r="37" spans="1:149">
      <c r="A37" t="str">
        <f>'Translate&amp;Prices&amp;Logo'!$B$67</f>
        <v>Rimini czarny mat - maksymalna długość profilu 1100 mm</v>
      </c>
      <c r="B37">
        <v>1</v>
      </c>
      <c r="C37" t="s">
        <v>651</v>
      </c>
      <c r="D37">
        <v>0</v>
      </c>
      <c r="BY37" t="s">
        <v>1332</v>
      </c>
      <c r="ED37" t="s">
        <v>1621</v>
      </c>
      <c r="EE37" t="s">
        <v>1777</v>
      </c>
      <c r="ER37" t="s">
        <v>2215</v>
      </c>
      <c r="ES37" t="s">
        <v>2209</v>
      </c>
    </row>
    <row r="38" spans="1:149">
      <c r="A38" t="str">
        <f>'Translate&amp;Prices&amp;Logo'!$B$68</f>
        <v>Rimini champagne - maksymalna długość profilu 1100 mm</v>
      </c>
      <c r="B38">
        <v>1</v>
      </c>
      <c r="C38" t="s">
        <v>651</v>
      </c>
      <c r="D38">
        <v>0</v>
      </c>
      <c r="ED38" t="s">
        <v>1622</v>
      </c>
      <c r="EE38" t="s">
        <v>1778</v>
      </c>
      <c r="ER38" t="s">
        <v>2216</v>
      </c>
      <c r="ES38" t="s">
        <v>2210</v>
      </c>
    </row>
    <row r="39" spans="1:149">
      <c r="A39" t="str">
        <f>'Translate&amp;Prices&amp;Logo'!$B$69</f>
        <v>Rimini zlota - maksymalna długość profilu 1100 mm</v>
      </c>
      <c r="B39">
        <v>1</v>
      </c>
      <c r="C39" t="s">
        <v>651</v>
      </c>
      <c r="D39">
        <v>0</v>
      </c>
      <c r="AA39" t="s">
        <v>2500</v>
      </c>
      <c r="AB39" t="s">
        <v>2498</v>
      </c>
      <c r="ED39" t="s">
        <v>1623</v>
      </c>
      <c r="EE39" t="s">
        <v>1779</v>
      </c>
      <c r="ER39" t="s">
        <v>2217</v>
      </c>
      <c r="ES39" t="s">
        <v>2211</v>
      </c>
    </row>
    <row r="40" spans="1:149">
      <c r="A40" t="str">
        <f>'Translate&amp;Prices&amp;Logo'!$B$70</f>
        <v>Rimini zlota szczotkowana - maksymalna długość profilu 1100 mm</v>
      </c>
      <c r="B40">
        <v>1</v>
      </c>
      <c r="C40" t="s">
        <v>651</v>
      </c>
      <c r="D40">
        <v>0</v>
      </c>
      <c r="AA40" t="s">
        <v>2500</v>
      </c>
      <c r="AB40" t="str">
        <f>'Translate&amp;Prices&amp;Logo'!B661</f>
        <v>StrongLift_gorny</v>
      </c>
      <c r="AC40">
        <v>1</v>
      </c>
      <c r="AD40">
        <v>0</v>
      </c>
      <c r="ED40" t="s">
        <v>1624</v>
      </c>
      <c r="EE40" t="s">
        <v>1780</v>
      </c>
      <c r="ER40" t="s">
        <v>2218</v>
      </c>
      <c r="ES40" t="s">
        <v>2212</v>
      </c>
    </row>
    <row r="41" spans="1:149">
      <c r="A41" t="str">
        <f>'Translate&amp;Prices&amp;Logo'!$B$50</f>
        <v>Rocca (elox.) - maksymalna zalecana zalecana długość profilu 2150 mm</v>
      </c>
      <c r="B41">
        <v>1</v>
      </c>
      <c r="C41" t="s">
        <v>651</v>
      </c>
      <c r="D41">
        <v>0</v>
      </c>
      <c r="AB41" t="str">
        <f>'Translate&amp;Prices&amp;Logo'!B662</f>
        <v>StrongLift_dolny</v>
      </c>
      <c r="AC41">
        <v>1</v>
      </c>
      <c r="AD41">
        <v>0</v>
      </c>
      <c r="ED41" t="s">
        <v>1625</v>
      </c>
      <c r="EE41" t="s">
        <v>1781</v>
      </c>
      <c r="ER41" t="s">
        <v>2219</v>
      </c>
      <c r="ES41" t="s">
        <v>2213</v>
      </c>
    </row>
    <row r="42" spans="1:149">
      <c r="A42" t="str">
        <f>'Translate&amp;Prices&amp;Logo'!$B$42</f>
        <v>Rocca czarny matowy - maksymalna zalecana zalecana długość profilu 2150 mm</v>
      </c>
      <c r="B42">
        <v>1</v>
      </c>
      <c r="C42" t="s">
        <v>651</v>
      </c>
      <c r="D42">
        <v>0</v>
      </c>
      <c r="AA42" t="s">
        <v>2082</v>
      </c>
      <c r="AB42" t="s">
        <v>1010</v>
      </c>
      <c r="ED42" t="s">
        <v>1626</v>
      </c>
      <c r="EE42" t="s">
        <v>1782</v>
      </c>
      <c r="ER42" t="s">
        <v>2220</v>
      </c>
      <c r="ES42" t="s">
        <v>2214</v>
      </c>
    </row>
    <row r="43" spans="1:149">
      <c r="A43" t="str">
        <f>'Translate&amp;Prices&amp;Logo'!$B$63</f>
        <v>Treviso czarny matowy - maksymalna zalecana długość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maksymalna zalecana zalecana długość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szczotkowany - maksymalna zalecana zalecana długość profilu 2500 mm</v>
      </c>
      <c r="B45">
        <v>1</v>
      </c>
      <c r="C45" t="s">
        <v>651</v>
      </c>
      <c r="D45">
        <v>0</v>
      </c>
      <c r="AB45" t="s">
        <v>1111</v>
      </c>
      <c r="AC45">
        <v>0</v>
      </c>
      <c r="AD45">
        <v>0</v>
      </c>
      <c r="ED45" t="s">
        <v>1629</v>
      </c>
      <c r="EE45" t="s">
        <v>1785</v>
      </c>
      <c r="ER45" t="s">
        <v>2239</v>
      </c>
      <c r="ES45" t="s">
        <v>2233</v>
      </c>
    </row>
    <row r="46" spans="1:149">
      <c r="A46" t="str">
        <f>'Translate&amp;Prices&amp;Logo'!$B$37</f>
        <v>Verona czarny matowy - maksymalna zalecana zalecana długość profilu 2500 mm</v>
      </c>
      <c r="B46">
        <v>1</v>
      </c>
      <c r="C46" t="s">
        <v>651</v>
      </c>
      <c r="D46">
        <v>0</v>
      </c>
      <c r="ED46" t="s">
        <v>1630</v>
      </c>
      <c r="EE46" t="s">
        <v>1786</v>
      </c>
      <c r="ER46" t="s">
        <v>2240</v>
      </c>
      <c r="ES46" t="s">
        <v>2234</v>
      </c>
    </row>
    <row r="47" spans="1:149">
      <c r="A47" t="str">
        <f>'Translate&amp;Prices&amp;Logo'!$B$36</f>
        <v>Verona czarny połysk - maksymalna zalecana zalecana długość profilu 2500 mm</v>
      </c>
      <c r="B47">
        <v>1</v>
      </c>
      <c r="C47" t="s">
        <v>651</v>
      </c>
      <c r="D47">
        <v>0</v>
      </c>
      <c r="ED47" t="s">
        <v>1631</v>
      </c>
      <c r="EE47" t="s">
        <v>1787</v>
      </c>
      <c r="ER47" t="s">
        <v>2241</v>
      </c>
      <c r="ES47" t="s">
        <v>2235</v>
      </c>
    </row>
    <row r="48" spans="1:149">
      <c r="A48" t="str">
        <f>'Translate&amp;Prices&amp;Logo'!$B$38</f>
        <v>Verona braz - maksymalna zalecana zalecana długość profilu 2500 mm</v>
      </c>
      <c r="B48">
        <v>1</v>
      </c>
      <c r="C48" t="s">
        <v>651</v>
      </c>
      <c r="D48">
        <v>0</v>
      </c>
      <c r="ED48" t="s">
        <v>1632</v>
      </c>
      <c r="EE48" t="s">
        <v>1788</v>
      </c>
      <c r="ER48" t="s">
        <v>2242</v>
      </c>
      <c r="ES48" t="s">
        <v>2236</v>
      </c>
    </row>
    <row r="49" spans="1:149">
      <c r="A49" t="str">
        <f>'Translate&amp;Prices&amp;Logo'!$B$39</f>
        <v>Verona szampański - maksymalna zalecana zalecana długość profilu 2500 mm</v>
      </c>
      <c r="B49">
        <v>1</v>
      </c>
      <c r="C49" t="s">
        <v>651</v>
      </c>
      <c r="D49">
        <v>0</v>
      </c>
      <c r="AA49" t="s">
        <v>2083</v>
      </c>
      <c r="AB49" t="s">
        <v>2085</v>
      </c>
      <c r="ED49" t="s">
        <v>1633</v>
      </c>
      <c r="EE49" t="s">
        <v>1789</v>
      </c>
      <c r="ER49" t="s">
        <v>2243</v>
      </c>
      <c r="ES49" t="s">
        <v>2237</v>
      </c>
    </row>
    <row r="50" spans="1:149">
      <c r="A50" t="str">
        <f>'Translate&amp;Prices&amp;Logo'!$B$40</f>
        <v>Verona Inox szczotkowany (Inox Lija)- maksymalna zalecana zalecana długość profilu 2500 mm</v>
      </c>
      <c r="B50">
        <v>1</v>
      </c>
      <c r="C50" t="s">
        <v>651</v>
      </c>
      <c r="D50">
        <v>0</v>
      </c>
      <c r="AB50" t="s">
        <v>2374</v>
      </c>
      <c r="AC50">
        <v>0</v>
      </c>
      <c r="AD50">
        <v>0</v>
      </c>
      <c r="ED50" t="s">
        <v>1634</v>
      </c>
      <c r="EE50" t="s">
        <v>1790</v>
      </c>
      <c r="ER50" t="s">
        <v>2244</v>
      </c>
      <c r="ES50" t="s">
        <v>2238</v>
      </c>
    </row>
    <row r="51" spans="1:149">
      <c r="A51" t="str">
        <f>'Translate&amp;Prices&amp;Logo'!$B$41</f>
        <v>Verona Acier Gratta - maksymalna zalecana zalecana długość profilu 2500 mm</v>
      </c>
      <c r="B51">
        <v>1</v>
      </c>
      <c r="C51" t="s">
        <v>651</v>
      </c>
      <c r="D51">
        <v>0</v>
      </c>
      <c r="AB51" t="s">
        <v>2376</v>
      </c>
      <c r="AC51">
        <v>0</v>
      </c>
      <c r="AD51">
        <v>0</v>
      </c>
      <c r="ED51" t="s">
        <v>1635</v>
      </c>
      <c r="EE51" t="s">
        <v>1791</v>
      </c>
      <c r="ER51" t="s">
        <v>2473</v>
      </c>
      <c r="ES51" t="s">
        <v>2465</v>
      </c>
    </row>
    <row r="52" spans="1:149">
      <c r="A52" t="str">
        <f>'Translate&amp;Prices&amp;Logo'!$B$62</f>
        <v>Verona Ivory mat - maksymalna zalecana zalecana długość profilu 2150 mm</v>
      </c>
      <c r="B52">
        <v>1</v>
      </c>
      <c r="C52" t="s">
        <v>651</v>
      </c>
      <c r="D52">
        <v>0</v>
      </c>
      <c r="AB52" t="s">
        <v>2371</v>
      </c>
      <c r="AC52">
        <v>0</v>
      </c>
      <c r="AD52">
        <v>0</v>
      </c>
      <c r="ED52" t="s">
        <v>1636</v>
      </c>
      <c r="EE52" t="s">
        <v>1792</v>
      </c>
      <c r="ER52" t="s">
        <v>2474</v>
      </c>
      <c r="ES52" t="s">
        <v>2466</v>
      </c>
    </row>
    <row r="53" spans="1:149">
      <c r="A53" t="str">
        <f>'Translate&amp;Prices&amp;Logo'!$B$65</f>
        <v>Verona kaszmirowy - maksymalna zalecana długość profilu 2150 mm</v>
      </c>
      <c r="B53">
        <v>1</v>
      </c>
      <c r="C53" t="s">
        <v>651</v>
      </c>
      <c r="D53">
        <v>0</v>
      </c>
      <c r="AB53" t="s">
        <v>2372</v>
      </c>
      <c r="AC53">
        <v>0</v>
      </c>
      <c r="AD53">
        <v>0</v>
      </c>
      <c r="ED53" t="s">
        <v>1637</v>
      </c>
      <c r="EE53" t="s">
        <v>1793</v>
      </c>
      <c r="ER53" t="s">
        <v>2475</v>
      </c>
      <c r="ES53" t="s">
        <v>2467</v>
      </c>
    </row>
    <row r="54" spans="1:149">
      <c r="A54" t="str">
        <f>'Translate&amp;Prices&amp;Logo'!$B$24</f>
        <v>Verona złota - maksymalna zalecana długość profilu 2150 mm</v>
      </c>
      <c r="B54">
        <v>1</v>
      </c>
      <c r="C54" t="s">
        <v>651</v>
      </c>
      <c r="D54">
        <v>0</v>
      </c>
      <c r="ED54" t="s">
        <v>1638</v>
      </c>
      <c r="EE54" t="s">
        <v>1794</v>
      </c>
      <c r="ER54" t="s">
        <v>2476</v>
      </c>
      <c r="ES54" t="s">
        <v>2468</v>
      </c>
    </row>
    <row r="55" spans="1:149">
      <c r="A55" t="str">
        <f>'Translate&amp;Prices&amp;Logo'!$B$56</f>
        <v>Verona złota szczotkowany - maksymalna zalecana zalecana długość profilu 2150 mm</v>
      </c>
      <c r="B55">
        <v>1</v>
      </c>
      <c r="C55" t="s">
        <v>651</v>
      </c>
      <c r="D55">
        <v>0</v>
      </c>
      <c r="ED55" t="s">
        <v>1639</v>
      </c>
      <c r="EE55" t="s">
        <v>1795</v>
      </c>
      <c r="ER55" t="s">
        <v>2477</v>
      </c>
      <c r="ES55" t="s">
        <v>2469</v>
      </c>
    </row>
    <row r="56" spans="1:149">
      <c r="A56" t="str">
        <f>'Translate&amp;Prices&amp;Logo'!$B$43</f>
        <v>Vivaro (elox.) - maksymalna zalecana zalecana długość profilu 2500 mm</v>
      </c>
      <c r="B56">
        <v>2</v>
      </c>
      <c r="C56" t="s">
        <v>651</v>
      </c>
      <c r="D56">
        <v>1</v>
      </c>
      <c r="ED56" t="s">
        <v>1640</v>
      </c>
      <c r="EE56" t="s">
        <v>1796</v>
      </c>
      <c r="ER56" t="s">
        <v>2478</v>
      </c>
      <c r="ES56" t="s">
        <v>2470</v>
      </c>
    </row>
    <row r="57" spans="1:149">
      <c r="A57" t="str">
        <f>'Translate&amp;Prices&amp;Logo'!$B$44</f>
        <v>Vivaro czarny matowy - maksymalna zalecana zalecana długość profilu 2500 mm</v>
      </c>
      <c r="B57">
        <v>2</v>
      </c>
      <c r="C57" t="s">
        <v>651</v>
      </c>
      <c r="D57">
        <v>1</v>
      </c>
      <c r="ED57" t="s">
        <v>1641</v>
      </c>
      <c r="EE57" t="s">
        <v>1797</v>
      </c>
      <c r="ER57" t="s">
        <v>2221</v>
      </c>
      <c r="ES57" t="s">
        <v>2209</v>
      </c>
    </row>
    <row r="58" spans="1:149">
      <c r="A58" t="str">
        <f>'Translate&amp;Prices&amp;Logo'!$B$46</f>
        <v>Vivaro INOX LIJA - maksymalna zalecana zalecana długość profilu 2500 mm</v>
      </c>
      <c r="B58">
        <v>2</v>
      </c>
      <c r="C58" t="s">
        <v>651</v>
      </c>
      <c r="D58">
        <v>0</v>
      </c>
      <c r="ED58" t="s">
        <v>1642</v>
      </c>
      <c r="EE58" t="s">
        <v>1798</v>
      </c>
      <c r="ER58" t="s">
        <v>2222</v>
      </c>
      <c r="ES58" t="s">
        <v>2210</v>
      </c>
    </row>
    <row r="59" spans="1:149">
      <c r="A59" t="str">
        <f>'Translate&amp;Prices&amp;Logo'!$B$47</f>
        <v>Vivaro biały matowy RAL 9003 - maksymalna zalecana zalecana długość profilu 2500 mm</v>
      </c>
      <c r="B59">
        <v>2</v>
      </c>
      <c r="C59" t="s">
        <v>651</v>
      </c>
      <c r="D59">
        <v>0</v>
      </c>
      <c r="AA59" t="s">
        <v>2084</v>
      </c>
      <c r="AB59" t="s">
        <v>2086</v>
      </c>
      <c r="ED59" t="s">
        <v>1643</v>
      </c>
      <c r="EE59" t="s">
        <v>1799</v>
      </c>
      <c r="ER59" t="s">
        <v>2223</v>
      </c>
      <c r="ES59" t="s">
        <v>2211</v>
      </c>
    </row>
    <row r="60" spans="1:149">
      <c r="A60" t="str">
        <f>'Translate&amp;Prices&amp;Logo'!$B$48</f>
        <v>Vivaro biały połysk RAL 9003 - maksymalna zalecana zalecana długość profilu 2500 mm</v>
      </c>
      <c r="B60">
        <v>2</v>
      </c>
      <c r="C60" t="s">
        <v>651</v>
      </c>
      <c r="D60">
        <v>0</v>
      </c>
      <c r="AB60" t="s">
        <v>968</v>
      </c>
      <c r="AC60">
        <v>0</v>
      </c>
      <c r="AD60">
        <v>0</v>
      </c>
      <c r="ED60" t="s">
        <v>1644</v>
      </c>
      <c r="EE60" t="s">
        <v>1800</v>
      </c>
      <c r="ER60" t="s">
        <v>2224</v>
      </c>
      <c r="ES60" t="s">
        <v>2212</v>
      </c>
    </row>
    <row r="61" spans="1:149">
      <c r="A61" t="str">
        <f>'Translate&amp;Prices&amp;Logo'!$B$31</f>
        <v>Vivaro złota - maksymalna zalecana zalecana długość profilu 2150 mm</v>
      </c>
      <c r="B61">
        <v>2</v>
      </c>
      <c r="C61" t="s">
        <v>651</v>
      </c>
      <c r="D61">
        <v>1</v>
      </c>
      <c r="AB61" t="s">
        <v>970</v>
      </c>
      <c r="AC61">
        <v>0</v>
      </c>
      <c r="AD61">
        <v>0</v>
      </c>
      <c r="ED61" t="s">
        <v>1645</v>
      </c>
      <c r="EE61" t="s">
        <v>1801</v>
      </c>
      <c r="ER61" t="s">
        <v>2225</v>
      </c>
      <c r="ES61" t="s">
        <v>2213</v>
      </c>
    </row>
    <row r="62" spans="1:149">
      <c r="A62" t="str">
        <f>'Translate&amp;Prices&amp;Logo'!$B$57</f>
        <v>Vivaro złota szczotkowany - maksymalna zalecana zalecana długość profilu 2150 mm</v>
      </c>
      <c r="B62">
        <v>2</v>
      </c>
      <c r="C62" t="s">
        <v>651</v>
      </c>
      <c r="D62">
        <v>0</v>
      </c>
      <c r="AB62" t="s">
        <v>971</v>
      </c>
      <c r="AC62">
        <v>0</v>
      </c>
      <c r="AD62">
        <v>0</v>
      </c>
      <c r="ED62" t="s">
        <v>1646</v>
      </c>
      <c r="EE62" t="s">
        <v>1802</v>
      </c>
      <c r="ER62" t="s">
        <v>2226</v>
      </c>
      <c r="ES62" t="s">
        <v>2214</v>
      </c>
    </row>
    <row r="63" spans="1:149">
      <c r="A63" t="str">
        <f>'Translate&amp;Prices&amp;Logo'!$B$82</f>
        <v>Rocca elox (lewa i prawa) + Varna elox (góra i dół)</v>
      </c>
      <c r="B63">
        <v>3</v>
      </c>
      <c r="C63" t="s">
        <v>651</v>
      </c>
      <c r="D63">
        <v>0</v>
      </c>
      <c r="AB63" t="s">
        <v>973</v>
      </c>
      <c r="AC63">
        <v>0</v>
      </c>
      <c r="AD63">
        <v>0</v>
      </c>
      <c r="ED63" t="s">
        <v>1647</v>
      </c>
      <c r="EE63" t="s">
        <v>1803</v>
      </c>
      <c r="ER63" t="s">
        <v>2479</v>
      </c>
      <c r="ES63" t="s">
        <v>2463</v>
      </c>
    </row>
    <row r="64" spans="1:149">
      <c r="A64" t="str">
        <f>'Translate&amp;Prices&amp;Logo'!$B$83</f>
        <v>Rocca czarny (lewa i prawa) + Varna czarny (góra i dół)</v>
      </c>
      <c r="B64">
        <v>3</v>
      </c>
      <c r="C64" t="s">
        <v>651</v>
      </c>
      <c r="D64">
        <v>0</v>
      </c>
      <c r="ED64" t="s">
        <v>1648</v>
      </c>
      <c r="EE64" t="s">
        <v>1804</v>
      </c>
      <c r="ER64" t="s">
        <v>2480</v>
      </c>
      <c r="ES64" t="s">
        <v>2464</v>
      </c>
    </row>
    <row r="65" spans="1:149">
      <c r="A65" t="str">
        <f>'Translate&amp;Prices&amp;Logo'!$B$73</f>
        <v>ROMA czarna matowa -  maksymalna zalecana długość profilu 2696 mm</v>
      </c>
      <c r="B65">
        <v>1</v>
      </c>
      <c r="C65" t="s">
        <v>651</v>
      </c>
      <c r="D65">
        <v>0</v>
      </c>
      <c r="ED65" t="s">
        <v>1682</v>
      </c>
      <c r="EE65" t="s">
        <v>3183</v>
      </c>
      <c r="EF65">
        <f>LEN(EE65)</f>
        <v>71</v>
      </c>
      <c r="ER65" t="s">
        <v>2245</v>
      </c>
      <c r="ES65" t="s">
        <v>2233</v>
      </c>
    </row>
    <row r="66" spans="1:149">
      <c r="A66" t="str">
        <f>'Translate&amp;Prices&amp;Logo'!$B$74</f>
        <v>ROMA champagne mat - maksymalna zalecana długość profilu 2696 mm</v>
      </c>
      <c r="B66">
        <v>1</v>
      </c>
      <c r="C66" t="s">
        <v>651</v>
      </c>
      <c r="D66">
        <v>0</v>
      </c>
      <c r="ED66" t="s">
        <v>1683</v>
      </c>
      <c r="EE66" t="s">
        <v>3186</v>
      </c>
      <c r="ER66" t="s">
        <v>2246</v>
      </c>
      <c r="ES66" t="s">
        <v>2234</v>
      </c>
    </row>
    <row r="67" spans="1:149">
      <c r="A67" t="str">
        <f>'Translate&amp;Prices&amp;Logo'!$B$75</f>
        <v>ROMA GRIP czarna matowa - maksymalna zalecana długość profilu 2696 mm</v>
      </c>
      <c r="B67">
        <v>1</v>
      </c>
      <c r="C67" t="s">
        <v>651</v>
      </c>
      <c r="D67">
        <v>0</v>
      </c>
      <c r="Q67" t="str">
        <f>'Translate&amp;Prices&amp;Logo'!$B$71</f>
        <v>BRW champagne - maksymalna zalecana długość profilu 2500 mm</v>
      </c>
      <c r="ED67" t="s">
        <v>1684</v>
      </c>
      <c r="EE67" t="s">
        <v>3188</v>
      </c>
      <c r="ER67" t="s">
        <v>2247</v>
      </c>
      <c r="ES67" t="s">
        <v>2235</v>
      </c>
    </row>
    <row r="68" spans="1:149">
      <c r="A68" t="str">
        <f>'Translate&amp;Prices&amp;Logo'!$B$76</f>
        <v>ROMA GRIP champagne mat - maksymalna zalecana długość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2F2EB12F-25D1-4F92-B225-F8A5A5E827F3}">
            <xm:f>OR(Ram_6!$AU$10=1,Ram_6!$AU$10=3)</xm:f>
            <x14:dxf>
              <fill>
                <patternFill patternType="darkDown"/>
              </fill>
            </x14:dxf>
          </x14:cfRule>
          <xm:sqref>CH13</xm:sqref>
        </x14:conditionalFormatting>
        <x14:conditionalFormatting xmlns:xm="http://schemas.microsoft.com/office/excel/2006/main">
          <x14:cfRule type="expression" priority="2" id="{654BD385-AC4D-49B2-B154-5FCB9061CCD3}">
            <xm:f>OR(Ram_6!$AU$10=2,Ram_6!$AU$10=3)</xm:f>
            <x14:dxf>
              <fill>
                <patternFill patternType="darkDown"/>
              </fill>
            </x14:dxf>
          </x14:cfRule>
          <xm:sqref>CH14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69-355D-494F-A106-3B3EF1828F89}">
  <sheetPr codeName="List23">
    <tabColor rgb="FF00B0F0"/>
  </sheetPr>
  <dimension ref="A1:XEV117"/>
  <sheetViews>
    <sheetView showGridLines="0" showRowColHeaders="0" workbookViewId="0">
      <selection activeCell="AJ2" sqref="AJ2:AN3"/>
    </sheetView>
  </sheetViews>
  <sheetFormatPr defaultColWidth="0" defaultRowHeight="14.85" customHeight="1" zeroHeight="1"/>
  <cols>
    <col min="1" max="1" width="3.7109375" style="1" customWidth="1"/>
    <col min="2" max="2" width="4.42578125" style="1" customWidth="1"/>
    <col min="3" max="3" width="18.85546875" style="1" customWidth="1"/>
    <col min="4" max="4" width="4.85546875" style="1" customWidth="1"/>
    <col min="5" max="7" width="7.7109375" style="1" customWidth="1"/>
    <col min="8" max="8" width="5.42578125" style="1" customWidth="1"/>
    <col min="9" max="11" width="7.7109375" style="1" customWidth="1"/>
    <col min="12" max="12" width="5.140625" style="1" customWidth="1"/>
    <col min="13" max="15" width="7.7109375" style="1" customWidth="1"/>
    <col min="16" max="18" width="2.5703125" style="1" customWidth="1"/>
    <col min="19" max="21" width="5.42578125" style="1" customWidth="1"/>
    <col min="22" max="22" width="3.42578125" style="1" customWidth="1"/>
    <col min="23" max="26" width="5.42578125" style="1" customWidth="1"/>
    <col min="27" max="27" width="6" style="1" customWidth="1"/>
    <col min="28" max="28" width="5.7109375" style="1" customWidth="1"/>
    <col min="29" max="29" width="5.42578125" style="1" customWidth="1"/>
    <col min="30" max="30" width="5.42578125" style="13" customWidth="1"/>
    <col min="31" max="31" width="5.42578125" style="11" customWidth="1"/>
    <col min="32" max="35" width="5.42578125" style="1" customWidth="1"/>
    <col min="36" max="36" width="5.5703125" style="1" customWidth="1"/>
    <col min="37" max="37" width="3.42578125" style="1" customWidth="1"/>
    <col min="38" max="38" width="14.85546875" style="1" customWidth="1"/>
    <col min="39" max="39" width="6.140625" style="1" customWidth="1"/>
    <col min="40" max="40" width="3.85546875" style="1" customWidth="1"/>
    <col min="41" max="41" width="7.7109375" style="1" hidden="1"/>
    <col min="42" max="42" width="10.28515625" style="6" hidden="1"/>
    <col min="43" max="43" width="11.7109375" style="6" hidden="1"/>
    <col min="44" max="46" width="7.7109375" style="6" hidden="1"/>
    <col min="47" max="48" width="7.7109375" style="288" hidden="1"/>
    <col min="49" max="53" width="7.7109375" style="6" hidden="1"/>
    <col min="54" max="54" width="14.42578125" style="6" hidden="1"/>
    <col min="55" max="57" width="7.7109375" style="6" hidden="1"/>
    <col min="58" max="58" width="10.5703125" style="6" hidden="1"/>
    <col min="59" max="60" width="7.7109375" style="6" hidden="1"/>
    <col min="61" max="61" width="9.42578125" style="6" hidden="1"/>
    <col min="62" max="62" width="8.5703125" style="6" hidden="1"/>
    <col min="63" max="63" width="7.7109375" style="6" hidden="1"/>
    <col min="64" max="65" width="9.7109375" style="6" hidden="1"/>
    <col min="66" max="66" width="18.28515625" style="6" hidden="1"/>
    <col min="67" max="71" width="13.28515625" style="6" hidden="1"/>
    <col min="72" max="72" width="9.5703125" style="6" hidden="1"/>
    <col min="73" max="74" width="10.28515625" style="6" hidden="1"/>
    <col min="75" max="75" width="13.28515625" style="6" hidden="1"/>
    <col min="76" max="76" width="11.5703125" style="6" hidden="1"/>
    <col min="77" max="16376" width="7.7109375" style="6" hidden="1"/>
    <col min="16377" max="16384" width="8.85546875" style="6" hidden="1"/>
  </cols>
  <sheetData>
    <row r="1" spans="1:74" ht="8.85" customHeight="1">
      <c r="A1" s="38"/>
      <c r="B1" s="38"/>
      <c r="C1" s="38"/>
      <c r="D1" s="38"/>
      <c r="E1" s="38"/>
      <c r="F1" s="38"/>
      <c r="G1" s="38"/>
      <c r="H1" s="38"/>
      <c r="I1" s="38"/>
      <c r="J1" s="38"/>
      <c r="K1" s="38"/>
      <c r="L1" s="38"/>
      <c r="M1" s="38"/>
      <c r="N1" s="38"/>
      <c r="O1" s="38"/>
      <c r="P1" s="38"/>
      <c r="Q1" s="38"/>
      <c r="R1" s="38"/>
      <c r="S1" s="38"/>
      <c r="T1" s="38"/>
      <c r="U1" s="38"/>
    </row>
    <row r="2" spans="1:74" ht="11.85" customHeight="1">
      <c r="A2" s="39"/>
      <c r="B2" s="39"/>
      <c r="C2" s="39"/>
      <c r="D2" s="39"/>
      <c r="E2" s="39"/>
      <c r="F2" s="39"/>
      <c r="G2" s="39"/>
      <c r="H2" s="39"/>
      <c r="I2" s="39"/>
      <c r="J2" s="39"/>
      <c r="K2" s="39"/>
      <c r="L2" s="39"/>
      <c r="M2" s="39"/>
      <c r="N2" s="39"/>
      <c r="O2" s="39"/>
      <c r="P2" s="680" t="str">
        <f>'Translate&amp;Prices&amp;Logo'!$B$280</f>
        <v>Ramki przesuwne</v>
      </c>
      <c r="Q2" s="680"/>
      <c r="R2" s="680"/>
      <c r="S2" s="680"/>
      <c r="T2" s="680"/>
      <c r="U2" s="680"/>
      <c r="V2" s="680"/>
      <c r="W2" s="680"/>
      <c r="X2" s="680"/>
      <c r="Y2" s="680"/>
      <c r="Z2" s="680"/>
      <c r="AA2" s="680"/>
      <c r="AB2" s="680"/>
      <c r="AC2" s="15"/>
      <c r="AD2" s="16"/>
      <c r="AE2" s="17"/>
      <c r="AF2" s="15"/>
      <c r="AG2" s="15"/>
      <c r="AH2" s="15"/>
      <c r="AI2" s="258"/>
      <c r="AJ2" s="554" t="str">
        <f>'Translate&amp;Prices&amp;Logo'!$B$542</f>
        <v>Wprowadzenie</v>
      </c>
      <c r="AK2" s="555"/>
      <c r="AL2" s="555"/>
      <c r="AM2" s="555"/>
      <c r="AN2" s="555"/>
    </row>
    <row r="3" spans="1:74" ht="11.85" customHeight="1">
      <c r="A3" s="39"/>
      <c r="B3" s="39"/>
      <c r="C3" s="39"/>
      <c r="D3" s="39"/>
      <c r="E3" s="39"/>
      <c r="F3" s="39"/>
      <c r="G3" s="39"/>
      <c r="H3" s="39"/>
      <c r="I3" s="39"/>
      <c r="J3" s="39"/>
      <c r="K3" s="39"/>
      <c r="L3" s="39"/>
      <c r="M3" s="39"/>
      <c r="N3" s="39"/>
      <c r="O3" s="39"/>
      <c r="P3" s="680"/>
      <c r="Q3" s="680"/>
      <c r="R3" s="680"/>
      <c r="S3" s="680"/>
      <c r="T3" s="680"/>
      <c r="U3" s="680"/>
      <c r="V3" s="680"/>
      <c r="W3" s="680"/>
      <c r="X3" s="680"/>
      <c r="Y3" s="680"/>
      <c r="Z3" s="680"/>
      <c r="AA3" s="680"/>
      <c r="AB3" s="680"/>
      <c r="AC3" s="15"/>
      <c r="AD3" s="16"/>
      <c r="AE3" s="17"/>
      <c r="AF3" s="15"/>
      <c r="AG3" s="15"/>
      <c r="AH3" s="15"/>
      <c r="AI3" s="258"/>
      <c r="AJ3" s="554"/>
      <c r="AK3" s="555"/>
      <c r="AL3" s="555"/>
      <c r="AM3" s="555"/>
      <c r="AN3" s="555"/>
    </row>
    <row r="4" spans="1:74" ht="11.45" customHeight="1">
      <c r="A4" s="38"/>
      <c r="B4" s="38"/>
      <c r="C4" s="38"/>
      <c r="D4" s="38"/>
      <c r="E4" s="38"/>
      <c r="F4" s="38"/>
      <c r="G4" s="38"/>
      <c r="P4" s="681"/>
      <c r="Q4" s="681"/>
      <c r="R4" s="681"/>
      <c r="S4" s="681"/>
      <c r="T4" s="681"/>
      <c r="U4" s="681"/>
      <c r="V4" s="681"/>
      <c r="W4" s="681"/>
      <c r="X4" s="681"/>
      <c r="Y4" s="681"/>
      <c r="Z4" s="681"/>
      <c r="AA4" s="681"/>
      <c r="AB4" s="681"/>
      <c r="AC4" s="681"/>
    </row>
    <row r="5" spans="1:74" ht="15" hidden="1" customHeight="1">
      <c r="A5" s="38"/>
      <c r="B5" s="38"/>
      <c r="C5" s="38"/>
      <c r="D5" s="38"/>
      <c r="E5" s="38"/>
      <c r="F5" s="38"/>
      <c r="G5" s="38"/>
      <c r="P5" s="681"/>
      <c r="Q5" s="681"/>
      <c r="R5" s="681"/>
      <c r="S5" s="681"/>
      <c r="T5" s="681"/>
      <c r="U5" s="681"/>
      <c r="V5" s="681"/>
      <c r="W5" s="681"/>
      <c r="X5" s="681"/>
      <c r="Y5" s="681"/>
      <c r="Z5" s="681"/>
      <c r="AA5" s="681"/>
      <c r="AB5" s="681"/>
      <c r="AC5" s="681"/>
    </row>
    <row r="7" spans="1:74" ht="14.85" customHeight="1">
      <c r="S7" s="675" t="str">
        <f>'Translate&amp;Prices&amp;Logo'!$B$277</f>
        <v>Standardowe prześwity drzwi</v>
      </c>
      <c r="T7" s="675"/>
      <c r="U7" s="675"/>
      <c r="V7" s="675"/>
      <c r="W7" s="675"/>
      <c r="X7" s="675"/>
      <c r="Y7" s="675"/>
      <c r="Z7" s="675"/>
      <c r="AA7" s="675"/>
      <c r="AB7" s="675"/>
      <c r="AC7" s="675"/>
    </row>
    <row r="8" spans="1:74" ht="7.35" customHeight="1"/>
    <row r="9" spans="1:74" ht="15">
      <c r="C9" s="709" t="str">
        <f>'Translate&amp;Prices&amp;Logo'!$B$251</f>
        <v>Klient</v>
      </c>
      <c r="D9" s="709"/>
      <c r="E9" s="709"/>
      <c r="F9" s="709"/>
      <c r="G9" s="709"/>
      <c r="H9" s="283"/>
      <c r="I9" s="496"/>
      <c r="J9" s="496"/>
      <c r="K9" s="496"/>
      <c r="L9" s="496"/>
      <c r="M9" s="496"/>
      <c r="N9" s="496"/>
      <c r="S9" s="679" t="s">
        <v>27</v>
      </c>
      <c r="T9" s="679"/>
      <c r="U9" s="36"/>
      <c r="V9" s="678">
        <v>20</v>
      </c>
      <c r="W9" s="678"/>
      <c r="Y9" s="679" t="s">
        <v>378</v>
      </c>
      <c r="Z9" s="679"/>
      <c r="AA9" s="36"/>
      <c r="AB9" s="678" t="s">
        <v>146</v>
      </c>
      <c r="AC9" s="678"/>
    </row>
    <row r="10" spans="1:74" ht="6.6" customHeight="1">
      <c r="C10" s="55"/>
      <c r="D10" s="55"/>
      <c r="E10" s="55"/>
      <c r="F10" s="55"/>
      <c r="G10" s="55"/>
    </row>
    <row r="11" spans="1:74" ht="15">
      <c r="C11" s="709" t="str">
        <f>'Translate&amp;Prices&amp;Logo'!$B$255</f>
        <v>NIP</v>
      </c>
      <c r="D11" s="709"/>
      <c r="E11" s="709"/>
      <c r="F11" s="709"/>
      <c r="G11" s="709"/>
      <c r="H11" s="283"/>
      <c r="I11" s="496"/>
      <c r="J11" s="496"/>
      <c r="K11" s="496"/>
      <c r="L11" s="496"/>
      <c r="M11" s="496"/>
      <c r="N11" s="496"/>
      <c r="S11" s="679" t="s">
        <v>377</v>
      </c>
      <c r="T11" s="679"/>
      <c r="U11" s="36"/>
      <c r="V11" s="678">
        <v>20</v>
      </c>
      <c r="W11" s="678"/>
      <c r="Y11" s="679" t="s">
        <v>4144</v>
      </c>
      <c r="Z11" s="679"/>
      <c r="AA11" s="36"/>
      <c r="AB11" s="678">
        <v>28</v>
      </c>
      <c r="AC11" s="678"/>
      <c r="BP11" s="29"/>
      <c r="BQ11" s="297"/>
      <c r="BR11" s="297"/>
      <c r="BS11" s="297"/>
      <c r="BT11" s="297"/>
      <c r="BU11" s="297"/>
      <c r="BV11" s="297"/>
    </row>
    <row r="12" spans="1:74" ht="6.6" customHeight="1">
      <c r="C12" s="55"/>
      <c r="D12" s="55"/>
      <c r="E12" s="55"/>
      <c r="F12" s="55"/>
      <c r="G12" s="55"/>
    </row>
    <row r="13" spans="1:74" ht="15">
      <c r="C13" s="709" t="str">
        <f>'Translate&amp;Prices&amp;Logo'!$B$252</f>
        <v>Telefon kontaktowy</v>
      </c>
      <c r="D13" s="709"/>
      <c r="E13" s="709"/>
      <c r="F13" s="709"/>
      <c r="G13" s="709"/>
      <c r="H13" s="283"/>
      <c r="I13" s="496"/>
      <c r="J13" s="496"/>
      <c r="K13" s="496"/>
      <c r="L13" s="496"/>
      <c r="M13" s="496"/>
      <c r="N13" s="496"/>
      <c r="S13" s="679" t="s">
        <v>4143</v>
      </c>
      <c r="T13" s="679"/>
      <c r="U13" s="36"/>
      <c r="V13" s="678">
        <v>28</v>
      </c>
      <c r="W13" s="678"/>
      <c r="Y13" s="679" t="s">
        <v>380</v>
      </c>
      <c r="Z13" s="679"/>
      <c r="AA13" s="36"/>
      <c r="AB13" s="678">
        <v>40</v>
      </c>
      <c r="AC13" s="678"/>
      <c r="AQ13" s="255" t="b">
        <v>0</v>
      </c>
      <c r="BP13" s="29"/>
      <c r="BQ13" s="297"/>
      <c r="BR13" s="297"/>
      <c r="BS13" s="297"/>
      <c r="BT13" s="29"/>
      <c r="BU13" s="29"/>
      <c r="BV13" s="29"/>
    </row>
    <row r="14" spans="1:74" ht="6.6" customHeight="1">
      <c r="C14" s="55"/>
      <c r="D14" s="55"/>
      <c r="E14" s="55"/>
      <c r="F14" s="55"/>
      <c r="G14" s="55"/>
    </row>
    <row r="15" spans="1:74" ht="15">
      <c r="C15" s="709" t="str">
        <f>'Translate&amp;Prices&amp;Logo'!$B$256</f>
        <v>Rabat na ramki</v>
      </c>
      <c r="D15" s="709"/>
      <c r="E15" s="709"/>
      <c r="F15" s="709"/>
      <c r="G15" s="709"/>
      <c r="H15" s="283"/>
      <c r="I15" s="496"/>
      <c r="J15" s="496"/>
      <c r="K15" s="496"/>
      <c r="L15" s="496"/>
      <c r="M15" s="496"/>
      <c r="N15" s="496"/>
      <c r="S15" s="679" t="s">
        <v>376</v>
      </c>
      <c r="T15" s="679"/>
      <c r="U15" s="36"/>
      <c r="V15" s="678">
        <v>45</v>
      </c>
      <c r="W15" s="678"/>
      <c r="Y15" s="679" t="s">
        <v>379</v>
      </c>
      <c r="Z15" s="679"/>
      <c r="AA15" s="36"/>
      <c r="AB15" s="678">
        <v>40</v>
      </c>
      <c r="AC15" s="678"/>
    </row>
    <row r="16" spans="1:74" ht="6.6" customHeight="1">
      <c r="C16" s="55"/>
      <c r="D16" s="55"/>
      <c r="E16" s="55"/>
      <c r="F16" s="55"/>
      <c r="G16" s="55"/>
      <c r="I16" s="6"/>
      <c r="J16" s="6"/>
      <c r="K16" s="6"/>
      <c r="L16" s="6"/>
      <c r="M16" s="6"/>
      <c r="N16" s="6"/>
    </row>
    <row r="17" spans="1:96" ht="15">
      <c r="C17" s="710" t="str">
        <f>IF(Hlavní!V39=3,"Dostawa","")</f>
        <v>Dostawa</v>
      </c>
      <c r="D17" s="710"/>
      <c r="E17" s="710"/>
      <c r="F17" s="710"/>
      <c r="G17" s="710"/>
      <c r="H17" s="31"/>
      <c r="I17" s="703"/>
      <c r="J17" s="703"/>
      <c r="K17" s="703"/>
      <c r="L17" s="703"/>
      <c r="M17" s="703"/>
      <c r="N17" s="703"/>
      <c r="S17" s="679" t="s">
        <v>383</v>
      </c>
      <c r="T17" s="679"/>
      <c r="U17" s="36"/>
      <c r="V17" s="678">
        <v>20</v>
      </c>
      <c r="W17" s="678"/>
      <c r="Y17" s="679" t="s">
        <v>384</v>
      </c>
      <c r="Z17" s="679"/>
      <c r="AA17" s="36"/>
      <c r="AB17" s="678">
        <v>40</v>
      </c>
      <c r="AC17" s="678"/>
    </row>
    <row r="18" spans="1:96" ht="33.75" customHeight="1">
      <c r="C18" s="704" t="str">
        <f>IF(I17="Dostawa na adres","W przypadku wyboru DOSTAWA NA ADRES do zamówienia zostanie automatycznie doliczona opłata transportowa","")</f>
        <v/>
      </c>
      <c r="D18" s="704"/>
      <c r="E18" s="704"/>
      <c r="F18" s="704"/>
      <c r="G18" s="704"/>
      <c r="H18" s="704"/>
      <c r="I18" s="704"/>
      <c r="J18" s="704"/>
      <c r="K18" s="705" t="str">
        <f>IF(I17="Dostawa na adres","Cennik transportu - kliknij tutaj","")</f>
        <v/>
      </c>
      <c r="L18" s="705"/>
      <c r="M18" s="705"/>
      <c r="N18" s="705"/>
      <c r="BP18" s="446"/>
      <c r="BQ18" s="1"/>
      <c r="BR18" s="1"/>
      <c r="BS18" s="1"/>
      <c r="BT18" s="1"/>
      <c r="BU18" s="1"/>
      <c r="BV18" s="1"/>
    </row>
    <row r="19" spans="1:96" ht="14.85" customHeight="1">
      <c r="C19" s="710" t="str">
        <f>IF(Hlavní!V39=3,"Adres","")</f>
        <v>Adres</v>
      </c>
      <c r="D19" s="710"/>
      <c r="E19" s="710"/>
      <c r="F19" s="710"/>
      <c r="G19" s="710"/>
      <c r="H19" s="31"/>
      <c r="I19" s="703"/>
      <c r="J19" s="703"/>
      <c r="K19" s="703"/>
      <c r="L19" s="703"/>
      <c r="M19" s="703"/>
      <c r="N19" s="703"/>
      <c r="BP19" s="447"/>
      <c r="BQ19" s="1"/>
      <c r="BR19" s="1"/>
      <c r="BS19" s="1"/>
      <c r="BT19" s="1"/>
      <c r="BU19" s="1"/>
      <c r="BV19" s="1"/>
    </row>
    <row r="20" spans="1:96" s="289" customFormat="1" ht="11.45" customHeight="1">
      <c r="A20" s="31"/>
      <c r="B20" s="31"/>
      <c r="C20" s="1"/>
      <c r="D20" s="1"/>
      <c r="E20" s="1"/>
      <c r="F20" s="1"/>
      <c r="G20" s="1"/>
      <c r="H20" s="1"/>
      <c r="I20" s="703"/>
      <c r="J20" s="703"/>
      <c r="K20" s="703"/>
      <c r="L20" s="703"/>
      <c r="M20" s="703"/>
      <c r="N20" s="703"/>
      <c r="O20" s="31"/>
      <c r="P20" s="31"/>
      <c r="Q20" s="31"/>
      <c r="R20" s="96"/>
      <c r="S20" s="51"/>
      <c r="T20" s="51"/>
      <c r="U20" s="31"/>
      <c r="V20" s="52"/>
      <c r="W20" s="52"/>
      <c r="X20" s="31"/>
      <c r="Y20" s="31"/>
      <c r="Z20" s="31"/>
      <c r="AA20" s="31"/>
      <c r="AB20" s="31"/>
      <c r="AC20" s="31"/>
      <c r="AD20" s="53"/>
      <c r="AE20" s="54"/>
      <c r="AF20" s="31"/>
      <c r="AG20" s="31"/>
      <c r="AH20" s="31"/>
      <c r="AI20" s="31"/>
      <c r="AJ20" s="31"/>
      <c r="AK20" s="31"/>
      <c r="AL20" s="31"/>
      <c r="AM20" s="31"/>
      <c r="AN20" s="31"/>
      <c r="AO20" s="31"/>
      <c r="AU20" s="290"/>
      <c r="AV20" s="288"/>
      <c r="AW20" s="6"/>
      <c r="AX20" s="6"/>
      <c r="AY20" s="6"/>
      <c r="AZ20" s="6"/>
      <c r="BA20" s="6"/>
      <c r="BB20" s="6"/>
      <c r="BC20" s="6"/>
      <c r="BD20" s="6"/>
      <c r="BE20" s="6"/>
      <c r="BF20" s="6"/>
      <c r="BG20" s="6"/>
      <c r="BH20" s="6"/>
      <c r="BI20" s="6"/>
      <c r="BJ20" s="6"/>
      <c r="BK20" s="6"/>
      <c r="BL20" s="6"/>
      <c r="BM20" s="6"/>
      <c r="BN20" s="6"/>
      <c r="BO20" s="6"/>
      <c r="BP20" s="29"/>
      <c r="BQ20" s="297"/>
      <c r="BR20" s="297"/>
      <c r="BS20" s="297"/>
      <c r="BT20" s="297"/>
      <c r="BU20" s="297"/>
      <c r="BV20" s="297"/>
      <c r="BW20" s="6"/>
      <c r="BX20" s="6"/>
      <c r="BY20" s="6"/>
      <c r="BZ20" s="6"/>
      <c r="CA20" s="6"/>
      <c r="CB20" s="6"/>
      <c r="CC20" s="6"/>
      <c r="CD20" s="6"/>
      <c r="CE20" s="6"/>
      <c r="CF20" s="6"/>
      <c r="CG20" s="6"/>
      <c r="CH20" s="6"/>
      <c r="CI20" s="6"/>
      <c r="CJ20" s="6"/>
      <c r="CK20" s="6"/>
      <c r="CL20" s="6"/>
      <c r="CM20" s="6"/>
      <c r="CN20" s="6"/>
      <c r="CO20" s="6"/>
      <c r="CP20" s="6"/>
      <c r="CQ20" s="6"/>
      <c r="CR20" s="6"/>
    </row>
    <row r="21" spans="1:96" ht="14.85" customHeight="1">
      <c r="I21" s="703"/>
      <c r="J21" s="703"/>
      <c r="K21" s="703"/>
      <c r="L21" s="703"/>
      <c r="M21" s="703"/>
      <c r="N21" s="703"/>
      <c r="R21" s="95"/>
      <c r="BP21" s="1"/>
      <c r="BQ21" s="337"/>
      <c r="BR21" s="337"/>
      <c r="BS21" s="337"/>
      <c r="BT21" s="337"/>
      <c r="BU21" s="337"/>
      <c r="BV21" s="337"/>
    </row>
    <row r="22" spans="1:96" ht="14.85" customHeight="1">
      <c r="R22" s="95"/>
      <c r="S22" s="677" t="str">
        <f>'Translate&amp;Prices&amp;Logo'!$B$227</f>
        <v>Dostarczyć łącznie z podanymi okuciami meblowymi</v>
      </c>
      <c r="T22" s="677"/>
      <c r="U22" s="677"/>
      <c r="V22" s="677"/>
      <c r="W22" s="677"/>
      <c r="X22" s="677"/>
      <c r="Y22" s="677"/>
      <c r="Z22" s="677"/>
      <c r="AA22" s="677"/>
      <c r="AB22" s="677"/>
      <c r="AC22" s="676" t="str">
        <f>'Translate&amp;Prices&amp;Logo'!$B$328</f>
        <v>Ilość (szt)</v>
      </c>
      <c r="AD22" s="676"/>
      <c r="AE22" s="676"/>
      <c r="AF22" s="31"/>
      <c r="AG22" s="676" t="str">
        <f>'Translate&amp;Prices&amp;Logo'!$B$327</f>
        <v>Inne wymagania (szt)</v>
      </c>
      <c r="AH22" s="676"/>
      <c r="AI22" s="676"/>
      <c r="AJ22" s="676"/>
      <c r="AL22" s="676" t="str">
        <f>'Translate&amp;Prices&amp;Logo'!$B$694</f>
        <v>Suma</v>
      </c>
      <c r="AM22" s="676"/>
      <c r="AN22" s="256"/>
      <c r="AO22" s="256"/>
      <c r="AQ22" s="291" t="s">
        <v>113</v>
      </c>
      <c r="AR22" s="291" t="s">
        <v>114</v>
      </c>
      <c r="AS22" s="291" t="s">
        <v>74</v>
      </c>
      <c r="AT22" s="291" t="s">
        <v>75</v>
      </c>
      <c r="BP22" s="390"/>
      <c r="BQ22" s="291"/>
      <c r="BR22" s="337"/>
      <c r="BS22" s="337"/>
      <c r="BT22" s="1"/>
      <c r="BU22" s="1"/>
      <c r="BV22" s="1"/>
    </row>
    <row r="23" spans="1:96" ht="6" customHeight="1" thickBot="1">
      <c r="R23" s="29">
        <f>IF(AQ13=TRUE,1,0)</f>
        <v>0</v>
      </c>
      <c r="AQ23" s="291"/>
      <c r="AR23" s="291"/>
      <c r="AS23" s="291"/>
      <c r="AT23" s="291"/>
    </row>
    <row r="24" spans="1:96" ht="14.85" customHeight="1">
      <c r="E24" s="706" t="str">
        <f>"1."&amp;" "&amp;'Translate&amp;Prices&amp;Logo'!$B$171</f>
        <v>1. Ramka</v>
      </c>
      <c r="F24" s="707"/>
      <c r="G24" s="708"/>
      <c r="H24" s="29"/>
      <c r="I24" s="706" t="str">
        <f>"2."&amp;" "&amp;'Translate&amp;Prices&amp;Logo'!$B$171</f>
        <v>2. Ramka</v>
      </c>
      <c r="J24" s="707"/>
      <c r="K24" s="708"/>
      <c r="L24" s="29"/>
      <c r="M24" s="706" t="str">
        <f>"3."&amp;" "&amp;'Translate&amp;Prices&amp;Logo'!$B$171</f>
        <v>3. Ramka</v>
      </c>
      <c r="N24" s="707"/>
      <c r="O24" s="708"/>
      <c r="R24" s="95"/>
      <c r="S24" s="685" t="str">
        <f>'Translate&amp;Prices&amp;Logo'!$B$319</f>
        <v>Komplet okuć do wąskiej ramki H27AL (88630)</v>
      </c>
      <c r="T24" s="685"/>
      <c r="U24" s="685"/>
      <c r="V24" s="685"/>
      <c r="W24" s="685"/>
      <c r="X24" s="685"/>
      <c r="Y24" s="685"/>
      <c r="Z24" s="685"/>
      <c r="AA24" s="685"/>
      <c r="AB24" s="36"/>
      <c r="AC24" s="682">
        <f>IFERROR(IF(O44&gt;=1,IF(R23=1,IF(AK25&gt;=1,AG24,O44),0),0),0)</f>
        <v>0</v>
      </c>
      <c r="AD24" s="682"/>
      <c r="AE24" s="682"/>
      <c r="AF24" s="233" t="s">
        <v>1218</v>
      </c>
      <c r="AG24" s="687"/>
      <c r="AH24" s="687"/>
      <c r="AI24" s="687"/>
      <c r="AJ24" s="687"/>
      <c r="AK24" s="36"/>
      <c r="AL24" s="257">
        <f>AC24*AP24*(1-$I$15/100)</f>
        <v>0</v>
      </c>
      <c r="AM24" s="253" t="str">
        <f>VLOOKUP('Translate&amp;Prices&amp;Logo'!$D$1,kombinace_1!$EV$1:$EW$6,2,0)</f>
        <v>zl</v>
      </c>
      <c r="AP24" s="292">
        <f>IF('Translate&amp;Prices&amp;Logo'!$D$1=1,AQ24,
IF(OR('Translate&amp;Prices&amp;Logo'!$D$1=2,'Translate&amp;Prices&amp;Logo'!$D$1=5,'Translate&amp;Prices&amp;Logo'!$D$1=6),AR24,
IF('Translate&amp;Prices&amp;Logo'!$D$1=3,AS24,AT24)))</f>
        <v>78.362129999999993</v>
      </c>
      <c r="AQ24" s="293">
        <v>423.69600000000003</v>
      </c>
      <c r="AR24" s="294">
        <v>17.30472</v>
      </c>
      <c r="AS24" s="294">
        <v>78.362129999999993</v>
      </c>
      <c r="AT24" s="294">
        <v>7346.3419400000002</v>
      </c>
      <c r="AU24" s="6">
        <v>88630</v>
      </c>
      <c r="AY24" s="1"/>
      <c r="AZ24" s="1"/>
      <c r="BA24" s="1"/>
      <c r="BB24" s="1"/>
      <c r="BC24" s="1"/>
      <c r="BD24" s="1"/>
      <c r="BE24" s="12"/>
      <c r="BF24" s="12"/>
      <c r="BG24" s="1"/>
      <c r="BH24" s="1"/>
      <c r="BI24" s="1"/>
      <c r="BJ24" s="1"/>
      <c r="BK24" s="1"/>
      <c r="BL24" s="1"/>
      <c r="BN24" s="394"/>
      <c r="BO24" s="1"/>
    </row>
    <row r="25" spans="1:96" ht="14.85" customHeight="1">
      <c r="E25" s="231"/>
      <c r="F25" s="29"/>
      <c r="G25" s="232"/>
      <c r="H25" s="29"/>
      <c r="I25" s="231"/>
      <c r="J25" s="29"/>
      <c r="K25" s="232"/>
      <c r="L25" s="29"/>
      <c r="M25" s="231"/>
      <c r="N25" s="29"/>
      <c r="O25" s="232"/>
      <c r="R25" s="95"/>
      <c r="S25" s="55"/>
      <c r="T25" s="55"/>
      <c r="U25" s="55"/>
      <c r="V25" s="55"/>
      <c r="W25" s="55"/>
      <c r="X25" s="55"/>
      <c r="Y25" s="55"/>
      <c r="Z25" s="55"/>
      <c r="AA25" s="55"/>
      <c r="AC25" s="29"/>
      <c r="AD25" s="29"/>
      <c r="AE25" s="29"/>
      <c r="AF25" s="29"/>
      <c r="AG25" s="29"/>
      <c r="AH25" s="29"/>
      <c r="AI25" s="29"/>
      <c r="AJ25" s="29"/>
      <c r="AK25" s="30">
        <f>AG24</f>
        <v>0</v>
      </c>
      <c r="AP25" s="295"/>
      <c r="AQ25" s="291"/>
      <c r="AR25" s="291"/>
      <c r="AS25" s="291"/>
      <c r="AT25" s="291"/>
      <c r="AU25" s="6"/>
      <c r="BE25" s="12"/>
      <c r="BG25" s="1"/>
      <c r="BH25" s="1"/>
      <c r="BI25" s="1"/>
      <c r="BJ25" s="1"/>
      <c r="BK25" s="1"/>
      <c r="BL25" s="1"/>
      <c r="BM25" s="1"/>
      <c r="BN25" s="394"/>
      <c r="BO25" s="1"/>
      <c r="BY25" s="12"/>
      <c r="BZ25" s="12"/>
      <c r="CA25" s="12"/>
    </row>
    <row r="26" spans="1:96" ht="14.85" customHeight="1">
      <c r="B26" s="696" t="str">
        <f>'Translate&amp;Prices&amp;Logo'!$B$178</f>
        <v>Wysokość</v>
      </c>
      <c r="C26" s="696"/>
      <c r="D26" s="286"/>
      <c r="E26" s="686"/>
      <c r="F26" s="687"/>
      <c r="G26" s="688"/>
      <c r="H26" s="284"/>
      <c r="I26" s="686"/>
      <c r="J26" s="687"/>
      <c r="K26" s="688"/>
      <c r="L26" s="284"/>
      <c r="M26" s="686"/>
      <c r="N26" s="687"/>
      <c r="O26" s="688"/>
      <c r="R26" s="95"/>
      <c r="S26" s="685" t="str">
        <f>'Translate&amp;Prices&amp;Logo'!$B$320</f>
        <v>Komplet okuć do szerokiej ramki H37AL (88631)</v>
      </c>
      <c r="T26" s="685"/>
      <c r="U26" s="685"/>
      <c r="V26" s="685"/>
      <c r="W26" s="685"/>
      <c r="X26" s="685"/>
      <c r="Y26" s="685"/>
      <c r="Z26" s="685"/>
      <c r="AA26" s="685"/>
      <c r="AB26" s="36"/>
      <c r="AC26" s="682">
        <f>IFERROR(IF(O43&gt;=1,IF(R23=1,IF(AK27&gt;=1,AG26,O43),0),0),0)</f>
        <v>0</v>
      </c>
      <c r="AD26" s="682"/>
      <c r="AE26" s="682"/>
      <c r="AF26" s="233" t="s">
        <v>1218</v>
      </c>
      <c r="AG26" s="687"/>
      <c r="AH26" s="687"/>
      <c r="AI26" s="687"/>
      <c r="AJ26" s="687"/>
      <c r="AK26" s="36"/>
      <c r="AL26" s="257">
        <f>AC26*AP26*(1-$I$15/100)</f>
        <v>0</v>
      </c>
      <c r="AM26" s="253" t="str">
        <f>VLOOKUP('Translate&amp;Prices&amp;Logo'!$D$1,kombinace_1!$EV$1:$EW$6,2,0)</f>
        <v>zl</v>
      </c>
      <c r="AP26" s="292">
        <f>IF('Translate&amp;Prices&amp;Logo'!$D$1=1,AQ26,
IF(OR('Translate&amp;Prices&amp;Logo'!$D$1=2,'Translate&amp;Prices&amp;Logo'!$D$1=5,'Translate&amp;Prices&amp;Logo'!$D$1=6),AR26,
IF('Translate&amp;Prices&amp;Logo'!$D$1=3,AS26,AT26)))</f>
        <v>82.132149999999996</v>
      </c>
      <c r="AQ26" s="293">
        <v>444.08</v>
      </c>
      <c r="AR26" s="294">
        <v>18.137250000000002</v>
      </c>
      <c r="AS26" s="294">
        <v>82.132149999999996</v>
      </c>
      <c r="AT26" s="294">
        <v>7699.7741900000001</v>
      </c>
      <c r="AU26" s="6">
        <v>88631</v>
      </c>
      <c r="AZ26" s="1"/>
      <c r="BA26" s="1"/>
      <c r="BB26" s="1"/>
      <c r="BC26" s="1"/>
      <c r="BD26" s="1"/>
      <c r="BE26" s="12"/>
      <c r="BG26" s="1"/>
      <c r="BI26" s="1"/>
      <c r="BJ26" s="1"/>
      <c r="BK26" s="1"/>
      <c r="BL26" s="1"/>
      <c r="BM26" s="1"/>
      <c r="BN26" s="1"/>
      <c r="BO26" s="1"/>
      <c r="BP26" s="1"/>
      <c r="BQ26" s="1"/>
      <c r="BR26" s="1"/>
      <c r="BS26" s="1"/>
      <c r="BT26" s="1"/>
      <c r="BU26" s="1"/>
      <c r="BV26" s="1"/>
      <c r="BY26" s="12"/>
      <c r="BZ26" s="12"/>
      <c r="CA26" s="425"/>
    </row>
    <row r="27" spans="1:96" ht="14.85" customHeight="1">
      <c r="B27" s="14"/>
      <c r="C27" s="14"/>
      <c r="D27" s="285"/>
      <c r="E27" s="231">
        <v>900</v>
      </c>
      <c r="F27" s="29"/>
      <c r="G27" s="232"/>
      <c r="H27" s="29"/>
      <c r="I27" s="231"/>
      <c r="J27" s="29"/>
      <c r="K27" s="232"/>
      <c r="L27" s="29"/>
      <c r="M27" s="231"/>
      <c r="N27" s="29"/>
      <c r="O27" s="232"/>
      <c r="S27" s="55"/>
      <c r="T27" s="55"/>
      <c r="U27" s="55"/>
      <c r="V27" s="55"/>
      <c r="W27" s="55"/>
      <c r="X27" s="55"/>
      <c r="Y27" s="55"/>
      <c r="Z27" s="55"/>
      <c r="AA27" s="55"/>
      <c r="AC27" s="29"/>
      <c r="AD27" s="29"/>
      <c r="AE27" s="29"/>
      <c r="AF27" s="29"/>
      <c r="AG27" s="29"/>
      <c r="AH27" s="29"/>
      <c r="AI27" s="29"/>
      <c r="AJ27" s="29"/>
      <c r="AK27" s="30">
        <f>AG26</f>
        <v>0</v>
      </c>
      <c r="AP27" s="295"/>
      <c r="AU27" s="6"/>
      <c r="AZ27" s="1"/>
      <c r="BA27" s="1"/>
      <c r="BB27" s="1"/>
      <c r="BC27" s="1"/>
      <c r="BD27" s="1"/>
      <c r="BE27" s="12"/>
      <c r="BG27" s="1"/>
      <c r="BI27" s="1"/>
      <c r="BJ27" s="1"/>
      <c r="BK27" s="1"/>
      <c r="BL27" s="1"/>
      <c r="BM27" s="1"/>
      <c r="BN27" s="1"/>
      <c r="BO27" s="1"/>
      <c r="BP27" s="1"/>
      <c r="BQ27" s="1"/>
      <c r="BR27" s="1"/>
      <c r="BS27" s="1"/>
      <c r="BT27" s="1"/>
      <c r="BU27" s="1"/>
      <c r="BV27" s="1"/>
      <c r="BY27" s="12"/>
      <c r="BZ27" s="12"/>
      <c r="CA27" s="425"/>
    </row>
    <row r="28" spans="1:96" ht="14.85" customHeight="1">
      <c r="B28" s="696" t="str">
        <f>'Translate&amp;Prices&amp;Logo'!$B$177</f>
        <v>Szerokość</v>
      </c>
      <c r="C28" s="696"/>
      <c r="D28" s="286"/>
      <c r="E28" s="686"/>
      <c r="F28" s="687"/>
      <c r="G28" s="688"/>
      <c r="H28" s="284"/>
      <c r="I28" s="686"/>
      <c r="J28" s="687"/>
      <c r="K28" s="688"/>
      <c r="L28" s="284"/>
      <c r="M28" s="686"/>
      <c r="N28" s="687"/>
      <c r="O28" s="688"/>
      <c r="S28" s="685" t="str">
        <f>'Translate&amp;Prices&amp;Logo'!$B$323</f>
        <v>Prowadzenie górne długość 2 m (87313)</v>
      </c>
      <c r="T28" s="685"/>
      <c r="U28" s="685"/>
      <c r="V28" s="685"/>
      <c r="W28" s="685"/>
      <c r="X28" s="685"/>
      <c r="Y28" s="685"/>
      <c r="Z28" s="685"/>
      <c r="AA28" s="685"/>
      <c r="AB28" s="36"/>
      <c r="AC28" s="682">
        <f>IF(AG28&gt;0,AG28,AK29)</f>
        <v>0</v>
      </c>
      <c r="AD28" s="682"/>
      <c r="AE28" s="682"/>
      <c r="AF28" s="233" t="s">
        <v>1218</v>
      </c>
      <c r="AG28" s="687"/>
      <c r="AH28" s="687"/>
      <c r="AI28" s="687"/>
      <c r="AJ28" s="687"/>
      <c r="AK28" s="36"/>
      <c r="AL28" s="257">
        <f>AC28*AP28*(1-$I$15/100)</f>
        <v>0</v>
      </c>
      <c r="AM28" s="253" t="str">
        <f>VLOOKUP('Translate&amp;Prices&amp;Logo'!$D$1,kombinace_1!$EV$1:$EW$6,2,0)</f>
        <v>zl</v>
      </c>
      <c r="AP28" s="292">
        <f>IF('Translate&amp;Prices&amp;Logo'!$D$1=1,AQ28,
IF(OR('Translate&amp;Prices&amp;Logo'!$D$1=2,'Translate&amp;Prices&amp;Logo'!$D$1=5,'Translate&amp;Prices&amp;Logo'!$D$1=6),AR28,
IF('Translate&amp;Prices&amp;Logo'!$D$1=3,AS28,AT28)))</f>
        <v>92.683340000000001</v>
      </c>
      <c r="AQ28" s="293">
        <v>279.55200000000002</v>
      </c>
      <c r="AR28" s="294">
        <v>17.28059</v>
      </c>
      <c r="AS28" s="294">
        <v>92.683340000000001</v>
      </c>
      <c r="AT28" s="294">
        <v>3381.6774300000002</v>
      </c>
      <c r="AU28" s="6">
        <v>87313</v>
      </c>
      <c r="AZ28" s="1"/>
      <c r="BA28" s="1"/>
      <c r="BB28" s="1"/>
      <c r="BC28" s="1"/>
      <c r="BD28" s="12"/>
      <c r="BE28" s="12"/>
      <c r="BG28" s="1"/>
      <c r="BI28" s="1"/>
      <c r="BJ28" s="1"/>
      <c r="BK28" s="1"/>
      <c r="BL28" s="1"/>
      <c r="BM28" s="1"/>
      <c r="BN28" s="1"/>
      <c r="BO28" s="1"/>
      <c r="BP28" s="1"/>
      <c r="BQ28" s="1"/>
      <c r="BR28" s="1"/>
      <c r="BS28" s="1"/>
      <c r="BT28" s="1"/>
      <c r="BU28" s="1"/>
      <c r="BV28" s="1"/>
      <c r="BY28" s="12"/>
      <c r="BZ28" s="12"/>
      <c r="CA28" s="425"/>
    </row>
    <row r="29" spans="1:96" ht="14.85" customHeight="1">
      <c r="B29" s="14"/>
      <c r="C29" s="14"/>
      <c r="D29" s="285"/>
      <c r="E29" s="231"/>
      <c r="F29" s="29"/>
      <c r="G29" s="232"/>
      <c r="H29" s="29"/>
      <c r="I29" s="231"/>
      <c r="J29" s="29"/>
      <c r="K29" s="232"/>
      <c r="L29" s="29"/>
      <c r="M29" s="231"/>
      <c r="N29" s="29"/>
      <c r="O29" s="232"/>
      <c r="S29" s="55"/>
      <c r="T29" s="55"/>
      <c r="U29" s="55"/>
      <c r="V29" s="55"/>
      <c r="W29" s="55"/>
      <c r="X29" s="55"/>
      <c r="Y29" s="55"/>
      <c r="Z29" s="55"/>
      <c r="AA29" s="55"/>
      <c r="AC29" s="29"/>
      <c r="AD29" s="29"/>
      <c r="AE29" s="29"/>
      <c r="AF29" s="29"/>
      <c r="AG29" s="29"/>
      <c r="AH29" s="29"/>
      <c r="AI29" s="29"/>
      <c r="AJ29" s="29"/>
      <c r="AK29" s="30">
        <f>SUM(AC45,AE45)</f>
        <v>0</v>
      </c>
      <c r="AP29" s="295"/>
      <c r="AQ29" s="293"/>
      <c r="AR29" s="294"/>
      <c r="AS29" s="294"/>
      <c r="AT29" s="294"/>
      <c r="AU29" s="6"/>
      <c r="AZ29" s="1"/>
      <c r="BA29" s="1"/>
      <c r="BB29" s="394"/>
      <c r="BC29" s="1"/>
      <c r="BD29" s="1"/>
      <c r="BE29" s="12"/>
      <c r="BF29" s="12"/>
      <c r="BG29" s="1"/>
      <c r="BH29" s="1"/>
      <c r="BI29" s="1"/>
      <c r="BJ29" s="1"/>
      <c r="BK29" s="1"/>
      <c r="BL29" s="1"/>
      <c r="BN29" s="1"/>
      <c r="BO29" s="1"/>
      <c r="BP29" s="1"/>
      <c r="BQ29" s="1"/>
      <c r="BR29" s="1"/>
      <c r="BS29" s="1"/>
      <c r="BU29" s="1"/>
    </row>
    <row r="30" spans="1:96" ht="15">
      <c r="B30" s="696" t="str">
        <f>'Translate&amp;Prices&amp;Logo'!$B$176</f>
        <v>Ilość sztuk</v>
      </c>
      <c r="C30" s="696"/>
      <c r="D30" s="286"/>
      <c r="E30" s="686"/>
      <c r="F30" s="687"/>
      <c r="G30" s="688"/>
      <c r="H30" s="284"/>
      <c r="I30" s="686"/>
      <c r="J30" s="687"/>
      <c r="K30" s="688"/>
      <c r="L30" s="284"/>
      <c r="M30" s="686"/>
      <c r="N30" s="687"/>
      <c r="O30" s="688"/>
      <c r="S30" s="685" t="str">
        <f>'Translate&amp;Prices&amp;Logo'!$B$324</f>
        <v>Prowadzenie dolne długość 2 m (87315)</v>
      </c>
      <c r="T30" s="685"/>
      <c r="U30" s="685"/>
      <c r="V30" s="685"/>
      <c r="W30" s="685"/>
      <c r="X30" s="685"/>
      <c r="Y30" s="685"/>
      <c r="Z30" s="685"/>
      <c r="AA30" s="685"/>
      <c r="AB30" s="36"/>
      <c r="AC30" s="682">
        <f>IF(AG30&gt;0,AG30,AK31)</f>
        <v>0</v>
      </c>
      <c r="AD30" s="682"/>
      <c r="AE30" s="682"/>
      <c r="AF30" s="233" t="s">
        <v>1218</v>
      </c>
      <c r="AG30" s="687"/>
      <c r="AH30" s="687"/>
      <c r="AI30" s="687"/>
      <c r="AJ30" s="687"/>
      <c r="AK30" s="36"/>
      <c r="AL30" s="257">
        <f>AC30*AP30*(1-$I$15/100)</f>
        <v>0</v>
      </c>
      <c r="AM30" s="253" t="str">
        <f>VLOOKUP('Translate&amp;Prices&amp;Logo'!$D$1,kombinace_1!$EV$1:$EW$6,2,0)</f>
        <v>zl</v>
      </c>
      <c r="AP30" s="292">
        <f>IF('Translate&amp;Prices&amp;Logo'!$D$1=1,AQ30,
IF(OR('Translate&amp;Prices&amp;Logo'!$D$1=2,'Translate&amp;Prices&amp;Logo'!$D$1=5,'Translate&amp;Prices&amp;Logo'!$D$1=6),AR30,
IF('Translate&amp;Prices&amp;Logo'!$D$1=3,AS30,AT30)))</f>
        <v>27.304449999999999</v>
      </c>
      <c r="AQ30" s="293">
        <v>142.92941999999999</v>
      </c>
      <c r="AR30" s="294">
        <v>5.4532600000000002</v>
      </c>
      <c r="AS30" s="294">
        <v>27.304449999999999</v>
      </c>
      <c r="AT30" s="294">
        <v>2631.0918900000001</v>
      </c>
      <c r="AU30" s="6">
        <v>87315</v>
      </c>
      <c r="AZ30" s="1"/>
      <c r="BA30" s="1"/>
      <c r="BB30" s="394"/>
      <c r="BC30" s="1"/>
      <c r="BD30" s="1"/>
      <c r="BE30" s="12"/>
      <c r="BF30" s="12"/>
      <c r="BG30" s="1"/>
      <c r="BH30" s="1"/>
      <c r="BI30" s="1"/>
      <c r="BJ30" s="1"/>
      <c r="BK30" s="1"/>
      <c r="BL30" s="1"/>
      <c r="BM30" s="1"/>
      <c r="BN30" s="1"/>
      <c r="BO30" s="1"/>
      <c r="BP30" s="1"/>
      <c r="BQ30" s="1"/>
      <c r="BR30" s="1"/>
      <c r="BS30" s="1"/>
      <c r="BT30" s="419"/>
      <c r="BU30" s="419"/>
      <c r="BV30" s="419"/>
    </row>
    <row r="31" spans="1:96" ht="14.85" customHeight="1">
      <c r="B31" s="14"/>
      <c r="C31" s="14"/>
      <c r="D31" s="285"/>
      <c r="E31" s="231"/>
      <c r="F31" s="29"/>
      <c r="G31" s="232"/>
      <c r="H31" s="29"/>
      <c r="I31" s="231"/>
      <c r="J31" s="29"/>
      <c r="K31" s="232"/>
      <c r="L31" s="29"/>
      <c r="M31" s="231"/>
      <c r="N31" s="29"/>
      <c r="O31" s="232"/>
      <c r="S31" s="55"/>
      <c r="T31" s="55"/>
      <c r="U31" s="55"/>
      <c r="V31" s="55"/>
      <c r="W31" s="55"/>
      <c r="X31" s="55"/>
      <c r="Y31" s="55"/>
      <c r="Z31" s="55"/>
      <c r="AA31" s="55"/>
      <c r="AC31" s="29"/>
      <c r="AD31" s="29">
        <v>0</v>
      </c>
      <c r="AE31" s="29"/>
      <c r="AF31" s="29"/>
      <c r="AG31" s="29"/>
      <c r="AH31" s="29"/>
      <c r="AI31" s="29"/>
      <c r="AJ31" s="29"/>
      <c r="AK31" s="30">
        <f>SUM(AC45,AE45)</f>
        <v>0</v>
      </c>
      <c r="AP31" s="295"/>
      <c r="AU31" s="6"/>
      <c r="AY31" s="1"/>
      <c r="AZ31" s="1"/>
      <c r="BA31" s="1"/>
      <c r="BB31" s="1"/>
      <c r="BC31" s="1"/>
      <c r="BD31" s="1"/>
      <c r="BE31" s="12"/>
      <c r="BF31" s="12"/>
      <c r="BG31" s="1"/>
      <c r="BH31" s="1"/>
      <c r="BI31" s="1"/>
      <c r="BJ31" s="1"/>
      <c r="BK31" s="1"/>
      <c r="BL31" s="1"/>
      <c r="BM31" s="1"/>
      <c r="BN31" s="1"/>
      <c r="BO31" s="451"/>
      <c r="BP31" s="1"/>
      <c r="BQ31" s="1"/>
      <c r="BR31" s="1"/>
      <c r="BS31" s="1"/>
      <c r="BT31" s="1"/>
    </row>
    <row r="32" spans="1:96" ht="14.85" customHeight="1">
      <c r="B32" s="696" t="str">
        <f>'Translate&amp;Prices&amp;Logo'!$B$179</f>
        <v>Uwagi (notatki)</v>
      </c>
      <c r="C32" s="696"/>
      <c r="D32" s="286"/>
      <c r="E32" s="698"/>
      <c r="F32" s="496"/>
      <c r="G32" s="699"/>
      <c r="H32" s="284"/>
      <c r="I32" s="698"/>
      <c r="J32" s="496"/>
      <c r="K32" s="699"/>
      <c r="L32" s="284"/>
      <c r="M32" s="698"/>
      <c r="N32" s="496"/>
      <c r="O32" s="699"/>
      <c r="S32" s="685" t="str">
        <f>'Translate&amp;Prices&amp;Logo'!$B$325</f>
        <v>Prowadzenie górne długość 3 m (87312)</v>
      </c>
      <c r="T32" s="685"/>
      <c r="U32" s="685"/>
      <c r="V32" s="685"/>
      <c r="W32" s="685"/>
      <c r="X32" s="685"/>
      <c r="Y32" s="685"/>
      <c r="Z32" s="685"/>
      <c r="AA32" s="685"/>
      <c r="AB32" s="36"/>
      <c r="AC32" s="682">
        <f>IF(AG32&gt;0,AG32,AK33)</f>
        <v>0</v>
      </c>
      <c r="AD32" s="682"/>
      <c r="AE32" s="682"/>
      <c r="AF32" s="233" t="s">
        <v>1218</v>
      </c>
      <c r="AG32" s="687"/>
      <c r="AH32" s="687"/>
      <c r="AI32" s="687"/>
      <c r="AJ32" s="687"/>
      <c r="AK32" s="36"/>
      <c r="AL32" s="257">
        <f>AC32*AP32*(1-$I$15/100)</f>
        <v>0</v>
      </c>
      <c r="AM32" s="253" t="str">
        <f>VLOOKUP('Translate&amp;Prices&amp;Logo'!$D$1,kombinace_1!$EV$1:$EW$6,2,0)</f>
        <v>zl</v>
      </c>
      <c r="AP32" s="292">
        <f>IF('Translate&amp;Prices&amp;Logo'!$D$1=1,AQ32,
IF(OR('Translate&amp;Prices&amp;Logo'!$D$1=2,'Translate&amp;Prices&amp;Logo'!$D$1=5,'Translate&amp;Prices&amp;Logo'!$D$1=6),AR32,
IF('Translate&amp;Prices&amp;Logo'!$D$1=3,AS32,AT32)))</f>
        <v>139.24695</v>
      </c>
      <c r="AQ32" s="293">
        <v>419.32799999999997</v>
      </c>
      <c r="AR32" s="294">
        <v>25.920940000000002</v>
      </c>
      <c r="AS32" s="294">
        <v>139.24695</v>
      </c>
      <c r="AT32" s="294">
        <v>5072.51613</v>
      </c>
      <c r="AU32" s="6">
        <v>87312</v>
      </c>
      <c r="AY32" s="1"/>
      <c r="AZ32" s="1"/>
      <c r="BA32" s="1"/>
      <c r="BB32" s="1"/>
      <c r="BC32" s="1"/>
      <c r="BD32" s="1"/>
      <c r="BE32" s="12"/>
      <c r="BF32" s="12"/>
      <c r="BG32" s="1"/>
      <c r="BH32" s="1"/>
      <c r="BI32" s="1"/>
      <c r="BJ32" s="1"/>
      <c r="BK32" s="1"/>
      <c r="BL32" s="1"/>
      <c r="BM32" s="1"/>
      <c r="BN32" s="1"/>
      <c r="BO32" s="451"/>
      <c r="BP32" s="1"/>
      <c r="BQ32" s="1"/>
      <c r="BR32" s="1"/>
      <c r="BS32" s="1"/>
      <c r="BT32" s="1"/>
    </row>
    <row r="33" spans="2:74" ht="14.85" customHeight="1">
      <c r="B33" s="14"/>
      <c r="C33" s="14"/>
      <c r="D33" s="285"/>
      <c r="E33" s="686"/>
      <c r="F33" s="687"/>
      <c r="G33" s="688"/>
      <c r="H33" s="29"/>
      <c r="I33" s="686"/>
      <c r="J33" s="687"/>
      <c r="K33" s="688"/>
      <c r="L33" s="29"/>
      <c r="M33" s="686"/>
      <c r="N33" s="687"/>
      <c r="O33" s="688"/>
      <c r="S33" s="55"/>
      <c r="T33" s="55"/>
      <c r="U33" s="55"/>
      <c r="V33" s="55"/>
      <c r="W33" s="55"/>
      <c r="X33" s="55"/>
      <c r="Y33" s="55"/>
      <c r="Z33" s="55"/>
      <c r="AA33" s="55"/>
      <c r="AC33" s="29"/>
      <c r="AD33" s="29"/>
      <c r="AE33" s="29"/>
      <c r="AF33" s="29"/>
      <c r="AG33" s="29"/>
      <c r="AH33" s="29"/>
      <c r="AI33" s="29"/>
      <c r="AJ33" s="29"/>
      <c r="AK33" s="30">
        <f>SUM(AD45,AF45)</f>
        <v>0</v>
      </c>
      <c r="AQ33" s="291"/>
      <c r="AR33" s="291"/>
      <c r="AS33" s="291"/>
      <c r="AT33" s="291"/>
      <c r="AU33" s="6"/>
      <c r="AY33" s="1"/>
      <c r="AZ33" s="1"/>
      <c r="BA33" s="1"/>
      <c r="BC33" s="1"/>
      <c r="BD33" s="1"/>
      <c r="BE33" s="12"/>
      <c r="BF33" s="1"/>
      <c r="BG33" s="1"/>
      <c r="BH33" s="1"/>
      <c r="BI33" s="1"/>
      <c r="BJ33" s="1"/>
      <c r="BK33" s="1"/>
      <c r="BL33" s="1"/>
      <c r="BM33" s="1"/>
      <c r="BN33" s="1"/>
      <c r="BO33" s="451"/>
      <c r="BP33" s="1"/>
      <c r="BQ33" s="1"/>
      <c r="BR33" s="1"/>
      <c r="BS33" s="1"/>
      <c r="BT33" s="1"/>
    </row>
    <row r="34" spans="2:74" ht="14.85" customHeight="1">
      <c r="B34" s="14"/>
      <c r="C34" s="14"/>
      <c r="D34" s="285"/>
      <c r="E34" s="231"/>
      <c r="F34" s="29"/>
      <c r="G34" s="232"/>
      <c r="H34" s="29"/>
      <c r="I34" s="231"/>
      <c r="J34" s="29"/>
      <c r="K34" s="232"/>
      <c r="L34" s="29"/>
      <c r="M34" s="231"/>
      <c r="N34" s="29"/>
      <c r="O34" s="232"/>
      <c r="S34" s="685" t="str">
        <f>'Translate&amp;Prices&amp;Logo'!$B$326</f>
        <v>Prowadzenie dolne długość 3 m (87314)</v>
      </c>
      <c r="T34" s="685"/>
      <c r="U34" s="685"/>
      <c r="V34" s="685"/>
      <c r="W34" s="685"/>
      <c r="X34" s="685"/>
      <c r="Y34" s="685"/>
      <c r="Z34" s="685"/>
      <c r="AA34" s="685"/>
      <c r="AB34" s="36"/>
      <c r="AC34" s="682">
        <f>IF(AG34&gt;0,AG34,AK35)</f>
        <v>0</v>
      </c>
      <c r="AD34" s="682"/>
      <c r="AE34" s="682"/>
      <c r="AF34" s="233" t="s">
        <v>1218</v>
      </c>
      <c r="AG34" s="687"/>
      <c r="AH34" s="687"/>
      <c r="AI34" s="687"/>
      <c r="AJ34" s="687"/>
      <c r="AK34" s="36"/>
      <c r="AL34" s="257">
        <f>AC34*AP34*(1-$I$15/100)</f>
        <v>0</v>
      </c>
      <c r="AM34" s="253" t="str">
        <f>VLOOKUP('Translate&amp;Prices&amp;Logo'!$D$1,kombinace_1!$EV$1:$EW$6,2,0)</f>
        <v>zl</v>
      </c>
      <c r="AP34" s="292">
        <f>IF('Translate&amp;Prices&amp;Logo'!$D$1=1,AQ34,
IF(OR('Translate&amp;Prices&amp;Logo'!$D$1=2,'Translate&amp;Prices&amp;Logo'!$D$1=5,'Translate&amp;Prices&amp;Logo'!$D$1=6),AR34,
IF('Translate&amp;Prices&amp;Logo'!$D$1=3,AS34,AT34)))</f>
        <v>40.95628</v>
      </c>
      <c r="AQ34" s="293">
        <v>214.39205000000001</v>
      </c>
      <c r="AR34" s="294">
        <v>8.1798099999999998</v>
      </c>
      <c r="AS34" s="294">
        <v>40.95628</v>
      </c>
      <c r="AT34" s="294">
        <v>3946.5994300000002</v>
      </c>
      <c r="AU34" s="6">
        <v>87314</v>
      </c>
      <c r="AY34" s="1"/>
      <c r="AZ34" s="1"/>
      <c r="BA34" s="1"/>
      <c r="BB34" s="1"/>
      <c r="BC34" s="1"/>
      <c r="BD34" s="1"/>
      <c r="BE34" s="12"/>
      <c r="BF34" s="12"/>
      <c r="BG34" s="1"/>
      <c r="BH34" s="1"/>
      <c r="BI34" s="1"/>
      <c r="BJ34" s="1"/>
      <c r="BK34" s="1"/>
      <c r="BL34" s="1"/>
      <c r="BM34" s="1"/>
      <c r="BN34" s="1"/>
      <c r="BO34" s="451"/>
      <c r="BP34" s="1"/>
      <c r="BT34" s="1"/>
    </row>
    <row r="35" spans="2:74" ht="14.85" customHeight="1">
      <c r="B35" s="696" t="str">
        <f>'Translate&amp;Prices&amp;Logo'!$B$174</f>
        <v>Rodzaj profilu</v>
      </c>
      <c r="C35" s="696"/>
      <c r="D35" s="286"/>
      <c r="E35" s="689"/>
      <c r="F35" s="690"/>
      <c r="G35" s="691"/>
      <c r="H35" s="284"/>
      <c r="I35" s="689"/>
      <c r="J35" s="690"/>
      <c r="K35" s="691"/>
      <c r="L35" s="284"/>
      <c r="M35" s="689"/>
      <c r="N35" s="690"/>
      <c r="O35" s="691"/>
      <c r="AD35" s="1"/>
      <c r="AE35" s="1"/>
      <c r="AK35" s="30">
        <f>SUM(AD45,AF45)</f>
        <v>0</v>
      </c>
      <c r="AQ35" s="291"/>
      <c r="AR35" s="291"/>
      <c r="AS35" s="291"/>
      <c r="AT35" s="291"/>
      <c r="AY35" s="1"/>
      <c r="AZ35" s="1"/>
      <c r="BA35" s="1"/>
      <c r="BB35" s="1"/>
      <c r="BC35" s="1"/>
      <c r="BD35" s="1"/>
      <c r="BE35" s="12"/>
      <c r="BF35" s="12"/>
      <c r="BG35" s="1"/>
      <c r="BH35" s="1"/>
      <c r="BI35" s="1"/>
      <c r="BJ35" s="1"/>
      <c r="BK35" s="1"/>
      <c r="BL35" s="1"/>
      <c r="BM35" s="1"/>
      <c r="BN35" s="1"/>
      <c r="BO35" s="451"/>
      <c r="BP35" s="1"/>
      <c r="BQ35" s="1"/>
      <c r="BR35" s="1"/>
      <c r="BS35" s="1"/>
      <c r="BT35" s="1"/>
    </row>
    <row r="36" spans="2:74" ht="28.9" customHeight="1">
      <c r="B36" s="14"/>
      <c r="C36" s="14"/>
      <c r="D36" s="285"/>
      <c r="E36" s="689"/>
      <c r="F36" s="690"/>
      <c r="G36" s="691"/>
      <c r="H36" s="29"/>
      <c r="I36" s="689"/>
      <c r="J36" s="690"/>
      <c r="K36" s="691"/>
      <c r="L36" s="29"/>
      <c r="M36" s="689"/>
      <c r="N36" s="690"/>
      <c r="O36" s="691"/>
      <c r="AD36" s="1"/>
      <c r="AE36" s="1"/>
      <c r="AK36" s="30"/>
      <c r="AY36" s="1"/>
      <c r="AZ36" s="1"/>
      <c r="BA36" s="1"/>
      <c r="BB36" s="1"/>
      <c r="BC36" s="1"/>
      <c r="BD36" s="1"/>
      <c r="BE36" s="12"/>
      <c r="BF36" s="12"/>
      <c r="BG36" s="1"/>
      <c r="BH36" s="1"/>
      <c r="BI36" s="1"/>
      <c r="BJ36" s="1"/>
      <c r="BK36" s="1"/>
      <c r="BL36" s="1"/>
      <c r="BM36" s="1"/>
      <c r="BN36" s="1"/>
      <c r="BO36" s="451"/>
      <c r="BP36" s="1"/>
      <c r="BQ36" s="1"/>
      <c r="BR36" s="1"/>
      <c r="BS36" s="1"/>
      <c r="BT36" s="1"/>
    </row>
    <row r="37" spans="2:74" ht="14.85" customHeight="1">
      <c r="B37" s="14"/>
      <c r="C37" s="14"/>
      <c r="D37" s="285"/>
      <c r="E37" s="689"/>
      <c r="F37" s="690"/>
      <c r="G37" s="691"/>
      <c r="H37" s="29"/>
      <c r="I37" s="689"/>
      <c r="J37" s="690"/>
      <c r="K37" s="691"/>
      <c r="L37" s="29"/>
      <c r="M37" s="689"/>
      <c r="N37" s="690"/>
      <c r="O37" s="691"/>
      <c r="S37" s="701" t="str">
        <f>IF(AND(Hlavní!V39=3,I17="Dostawa na adres"),"Koszt transportu","")</f>
        <v/>
      </c>
      <c r="T37" s="701"/>
      <c r="U37" s="701"/>
      <c r="V37" s="30"/>
      <c r="W37" s="702" t="b">
        <f>IF(AND(Hlavní!V39=3,I17="Dostawa na adres"),IF('Doprava Posun'!AH29=1,'Doprava Posun'!Z62,IF('Doprava Posun'!AH29=2,'Doprava Posun'!W89,'kalkulace dopravy'!X2)))</f>
        <v>0</v>
      </c>
      <c r="X37" s="702"/>
      <c r="Y37" s="702"/>
      <c r="Z37" s="702"/>
      <c r="AA37" s="297" t="str">
        <f>VLOOKUP('Translate&amp;Prices&amp;Logo'!$D$1,kombinace_1!$EV$1:$EW$5,2,0)</f>
        <v>zl</v>
      </c>
      <c r="AC37" s="254" t="str">
        <f>'Translate&amp;Prices&amp;Logo'!$B$695</f>
        <v>Cena okuć</v>
      </c>
      <c r="AD37" s="254"/>
      <c r="AE37" s="254"/>
      <c r="AF37" s="254"/>
      <c r="AG37" s="254"/>
      <c r="AH37" s="254"/>
      <c r="AI37" s="254"/>
      <c r="AJ37" s="254"/>
      <c r="AK37" s="36"/>
      <c r="AL37" s="257">
        <f>SUM(AL24,AL26,AL28,AL30,AL32,AL34)</f>
        <v>0</v>
      </c>
      <c r="AM37" s="253" t="str">
        <f>VLOOKUP('Translate&amp;Prices&amp;Logo'!$D$1,kombinace_1!$EV$1:$EW$6,2,0)</f>
        <v>zl</v>
      </c>
      <c r="AP37" s="6">
        <f>IF(OR($W$37='kalkulace dopravy'!$X$2,$W$37='kalkulace dopravy'!$X$3,$W$37='kalkulace dopravy'!$X$4),1,2)</f>
        <v>2</v>
      </c>
      <c r="AY37" s="1"/>
      <c r="AZ37" s="1"/>
      <c r="BA37" s="1"/>
      <c r="BB37" s="1"/>
      <c r="BC37" s="1"/>
      <c r="BD37" s="1"/>
      <c r="BE37" s="12"/>
      <c r="BF37" s="12"/>
      <c r="BG37" s="1"/>
      <c r="BH37" s="1"/>
      <c r="BI37" s="1"/>
      <c r="BJ37" s="1"/>
      <c r="BK37" s="1"/>
      <c r="BL37" s="1"/>
      <c r="BM37" s="1"/>
      <c r="BN37" s="1"/>
      <c r="BO37" s="451"/>
      <c r="BP37" s="1"/>
      <c r="BQ37" s="419"/>
      <c r="BR37" s="419"/>
      <c r="BS37" s="419"/>
      <c r="BT37" s="1"/>
    </row>
    <row r="38" spans="2:74" ht="14.85" customHeight="1">
      <c r="B38" s="14"/>
      <c r="C38" s="14"/>
      <c r="D38" s="285"/>
      <c r="E38" s="231"/>
      <c r="F38" s="29"/>
      <c r="G38" s="232"/>
      <c r="H38" s="29"/>
      <c r="I38" s="231"/>
      <c r="J38" s="29"/>
      <c r="K38" s="232"/>
      <c r="L38" s="29"/>
      <c r="M38" s="231"/>
      <c r="N38" s="29"/>
      <c r="O38" s="232"/>
      <c r="AD38" s="1"/>
      <c r="AY38" s="1"/>
      <c r="AZ38" s="1"/>
      <c r="BA38" s="1"/>
      <c r="BB38" s="1"/>
      <c r="BC38" s="1"/>
      <c r="BD38" s="1"/>
      <c r="BE38" s="12"/>
      <c r="BF38" s="12"/>
      <c r="BG38" s="1"/>
      <c r="BH38" s="1"/>
      <c r="BI38" s="1"/>
      <c r="BJ38" s="1"/>
      <c r="BK38" s="1"/>
      <c r="BL38" s="1"/>
      <c r="BM38" s="1"/>
      <c r="BN38" s="1"/>
      <c r="BO38" s="452"/>
      <c r="BP38" s="1"/>
      <c r="BQ38" s="1"/>
      <c r="BR38" s="1"/>
      <c r="BS38" s="1"/>
      <c r="BT38" s="1"/>
    </row>
    <row r="39" spans="2:74" ht="14.85" customHeight="1">
      <c r="B39" s="696" t="str">
        <f>'Translate&amp;Prices&amp;Logo'!$B$627</f>
        <v>Rodzaj szkła/siatka</v>
      </c>
      <c r="C39" s="696"/>
      <c r="D39" s="286"/>
      <c r="E39" s="689"/>
      <c r="F39" s="690"/>
      <c r="G39" s="691"/>
      <c r="H39" s="284"/>
      <c r="I39" s="689"/>
      <c r="J39" s="690"/>
      <c r="K39" s="691"/>
      <c r="L39" s="284"/>
      <c r="M39" s="689"/>
      <c r="N39" s="690"/>
      <c r="O39" s="691"/>
      <c r="S39" s="700">
        <f>IF(ISTEXT(W37)=TRUE,VLOOKUP(W37,'kalkulace dopravy'!X2:Y4,2,0),0)</f>
        <v>0</v>
      </c>
      <c r="T39" s="700"/>
      <c r="U39" s="700"/>
      <c r="V39" s="700"/>
      <c r="W39" s="700"/>
      <c r="X39" s="700"/>
      <c r="Y39" s="700"/>
      <c r="Z39" s="700"/>
      <c r="AA39" s="700"/>
      <c r="AC39" s="695" t="str">
        <f>'Translate&amp;Prices&amp;Logo'!$B$182</f>
        <v>Cena za kompletne zamówienie</v>
      </c>
      <c r="AD39" s="695"/>
      <c r="AE39" s="695"/>
      <c r="AF39" s="695"/>
      <c r="AG39" s="695"/>
      <c r="AH39" s="695"/>
      <c r="AI39" s="695"/>
      <c r="AJ39" s="697"/>
      <c r="AK39" s="36"/>
      <c r="AL39" s="257">
        <f>IF(AQ13=TRUE,SUM(E48,I48,M48,AL37,W37),SUM(E48,I48,M48,W37))</f>
        <v>0</v>
      </c>
      <c r="AM39" s="261" t="str">
        <f>VLOOKUP('Translate&amp;Prices&amp;Logo'!D1,kombinace_1!$EV$1:$EW$6,2,0)</f>
        <v>zl</v>
      </c>
      <c r="AY39" s="1"/>
      <c r="AZ39" s="1"/>
      <c r="BA39" s="1"/>
      <c r="BB39" s="1"/>
      <c r="BC39" s="1"/>
      <c r="BD39" s="1"/>
      <c r="BE39" s="12"/>
      <c r="BF39" s="12"/>
      <c r="BG39" s="1"/>
      <c r="BH39" s="1"/>
      <c r="BI39" s="1"/>
      <c r="BJ39" s="1"/>
      <c r="BK39" s="1"/>
      <c r="BL39" s="1"/>
      <c r="BM39" s="1"/>
      <c r="BN39" s="1"/>
      <c r="BO39" s="452"/>
      <c r="BP39" s="1"/>
      <c r="BQ39" s="1"/>
      <c r="BR39" s="1"/>
      <c r="BS39" s="1"/>
    </row>
    <row r="40" spans="2:74" ht="15.75" customHeight="1" thickBot="1">
      <c r="E40" s="692"/>
      <c r="F40" s="693"/>
      <c r="G40" s="694"/>
      <c r="H40" s="29"/>
      <c r="I40" s="692"/>
      <c r="J40" s="693"/>
      <c r="K40" s="694"/>
      <c r="L40" s="29"/>
      <c r="M40" s="692"/>
      <c r="N40" s="693"/>
      <c r="O40" s="694"/>
      <c r="S40" s="700"/>
      <c r="T40" s="700"/>
      <c r="U40" s="700"/>
      <c r="V40" s="700"/>
      <c r="W40" s="700"/>
      <c r="X40" s="700"/>
      <c r="Y40" s="700"/>
      <c r="Z40" s="700"/>
      <c r="AA40" s="700"/>
      <c r="AB40" s="12"/>
      <c r="AD40" s="43"/>
      <c r="AE40" s="1"/>
      <c r="BO40" s="452"/>
    </row>
    <row r="41" spans="2:74" ht="15.75" hidden="1" customHeight="1" thickBot="1">
      <c r="D41" s="31" t="s">
        <v>1217</v>
      </c>
      <c r="E41" s="31" t="e">
        <f>VLOOKUP(E35,kombinace_1!A:C,3,0)</f>
        <v>#N/A</v>
      </c>
      <c r="F41" s="31">
        <v>1</v>
      </c>
      <c r="G41" s="31" t="e">
        <f>CONCATENATE(D41,E41,F41)</f>
        <v>#N/A</v>
      </c>
      <c r="H41" s="31" t="s">
        <v>1217</v>
      </c>
      <c r="I41" s="31" t="e">
        <f>VLOOKUP(I35,kombinace_1!A:C,3,0)</f>
        <v>#N/A</v>
      </c>
      <c r="J41" s="31">
        <v>1</v>
      </c>
      <c r="K41" s="31" t="e">
        <f>CONCATENATE(H41,I41,J41)</f>
        <v>#N/A</v>
      </c>
      <c r="L41" s="31" t="s">
        <v>1217</v>
      </c>
      <c r="M41" s="31" t="e">
        <f>VLOOKUP(M35,kombinace_1!A:C,3,0)</f>
        <v>#N/A</v>
      </c>
      <c r="N41" s="31">
        <v>1</v>
      </c>
      <c r="O41" s="31" t="e">
        <f>CONCATENATE(L41,M41,N41)</f>
        <v>#N/A</v>
      </c>
      <c r="S41" s="700"/>
      <c r="T41" s="700"/>
      <c r="U41" s="700"/>
      <c r="V41" s="700"/>
      <c r="W41" s="700"/>
      <c r="X41" s="700"/>
      <c r="Y41" s="700"/>
      <c r="Z41" s="700"/>
      <c r="AA41" s="700"/>
      <c r="AB41" s="453"/>
      <c r="AC41" s="44" t="s">
        <v>457</v>
      </c>
      <c r="AD41" s="44" t="s">
        <v>458</v>
      </c>
      <c r="AE41" s="44" t="s">
        <v>459</v>
      </c>
      <c r="AF41" s="44" t="s">
        <v>3537</v>
      </c>
      <c r="AG41" s="31" t="s">
        <v>3538</v>
      </c>
      <c r="AH41" s="31"/>
      <c r="BO41" s="452"/>
    </row>
    <row r="42" spans="2:74" ht="15.75" hidden="1" customHeight="1" thickBot="1">
      <c r="C42" s="45" t="s">
        <v>454</v>
      </c>
      <c r="D42" s="46"/>
      <c r="E42" s="47" t="e">
        <f>VLOOKUP(E35,#REF!,2,0)</f>
        <v>#REF!</v>
      </c>
      <c r="F42" s="47"/>
      <c r="G42" s="47"/>
      <c r="H42" s="31"/>
      <c r="I42" s="47" t="e">
        <f>VLOOKUP(I35,#REF!,2,0)</f>
        <v>#REF!</v>
      </c>
      <c r="J42" s="47"/>
      <c r="K42" s="47"/>
      <c r="L42" s="31"/>
      <c r="M42" s="47" t="e">
        <f>VLOOKUP(M35,#REF!,2,0)</f>
        <v>#REF!</v>
      </c>
      <c r="N42" s="47"/>
      <c r="O42" s="48"/>
      <c r="S42" s="700"/>
      <c r="T42" s="700"/>
      <c r="U42" s="700"/>
      <c r="V42" s="700"/>
      <c r="W42" s="700"/>
      <c r="X42" s="700"/>
      <c r="Y42" s="700"/>
      <c r="Z42" s="700"/>
      <c r="AA42" s="700"/>
      <c r="AB42" s="454"/>
      <c r="AC42" s="31">
        <f>IF(E28=0,0,IF((E28*2)&lt;=2000,1,0))</f>
        <v>0</v>
      </c>
      <c r="AD42" s="31">
        <f>IF(E28=0,0,IF((E28*2)&lt;=2000,0,IF((E28*2)&gt;2000,IF((E28*2)&lt;=3000,1,0))))</f>
        <v>0</v>
      </c>
      <c r="AE42" s="31">
        <f>2*(IF(E28=0,0,IF(E28&lt;1501,0,IF(E28&gt;2000,0,IF(E28&lt;=2000,1,0)))))</f>
        <v>0</v>
      </c>
      <c r="AF42" s="31">
        <f>2*(IF(E28=0,0,IF(E28&lt;2001,0,IF(E28&gt;3000,0,IF(E28&lt;=3000,1,0)))))</f>
        <v>0</v>
      </c>
      <c r="AG42" s="31" t="e">
        <f>VLOOKUP(E35,U57:AJ112,16,0)</f>
        <v>#N/A</v>
      </c>
      <c r="AH42" s="31"/>
      <c r="BO42" s="452"/>
    </row>
    <row r="43" spans="2:74" ht="15.75" hidden="1" customHeight="1" thickBot="1">
      <c r="C43" s="1" t="s">
        <v>1219</v>
      </c>
      <c r="E43" s="1" t="e">
        <f>IF(E42=2,E30,0)</f>
        <v>#REF!</v>
      </c>
      <c r="I43" s="1">
        <f>IFERROR(IF(I42=2,I30,0),0)</f>
        <v>0</v>
      </c>
      <c r="M43" s="1">
        <f>IFERROR(IF(M42=2,M30,0),0)</f>
        <v>0</v>
      </c>
      <c r="O43" s="4" t="e">
        <f>SUM(E43,I43,M43)</f>
        <v>#REF!</v>
      </c>
      <c r="S43" s="700"/>
      <c r="T43" s="700"/>
      <c r="U43" s="700"/>
      <c r="V43" s="700"/>
      <c r="W43" s="700"/>
      <c r="X43" s="700"/>
      <c r="Y43" s="700"/>
      <c r="Z43" s="700"/>
      <c r="AA43" s="700"/>
      <c r="AB43" s="454"/>
      <c r="AC43" s="31">
        <f>IF(I28=0,0,IF((I28*2)&lt;=2000,1,0))</f>
        <v>0</v>
      </c>
      <c r="AD43" s="31">
        <f>IF(I28=0,0,IF((I28*2)&lt;=2000,0,IF((I28*2)&gt;2000,IF((I28*2)&lt;=3000,1,0))))</f>
        <v>0</v>
      </c>
      <c r="AE43" s="31">
        <f>2*(IF(I28=0,0,IF(I28&lt;1501,0,IF(I28&gt;2000,0,IF(I28&lt;=2000,1,0)))))</f>
        <v>0</v>
      </c>
      <c r="AF43" s="31">
        <f>2*(IF(I28=0,0,IF(I28&lt;2001,0,IF(I28&gt;3000,0,IF(I28&lt;=3000,1,0)))))</f>
        <v>0</v>
      </c>
      <c r="AG43" s="31" t="e">
        <f>VLOOKUP(I35,U57:AJ112,16,0)</f>
        <v>#N/A</v>
      </c>
      <c r="AH43" s="31"/>
      <c r="BO43" s="452"/>
    </row>
    <row r="44" spans="2:74" ht="15.75" hidden="1" customHeight="1" thickBot="1">
      <c r="C44" s="1" t="s">
        <v>1220</v>
      </c>
      <c r="E44" s="1" t="e">
        <f>IF(E42=1,E30,0)</f>
        <v>#REF!</v>
      </c>
      <c r="I44" s="1">
        <f>IFERROR(IF(I42=1,I30,0),0)</f>
        <v>0</v>
      </c>
      <c r="M44" s="1">
        <f>IFERROR(IF(M42=1,M30,0),0)</f>
        <v>0</v>
      </c>
      <c r="O44" s="5" t="e">
        <f>SUM(E44,I44,M44)</f>
        <v>#REF!</v>
      </c>
      <c r="S44" s="700"/>
      <c r="T44" s="700"/>
      <c r="U44" s="700"/>
      <c r="V44" s="700"/>
      <c r="W44" s="700"/>
      <c r="X44" s="700"/>
      <c r="Y44" s="700"/>
      <c r="Z44" s="700"/>
      <c r="AA44" s="700"/>
      <c r="AB44" s="454"/>
      <c r="AC44" s="31">
        <f>IF(M28=0,0,IF((M28*2)&lt;=2000,1,0))</f>
        <v>0</v>
      </c>
      <c r="AD44" s="31">
        <f>IF(M28=0,0,IF((M28*2)&lt;=2000,0,IF((M28*2)&gt;2000,IF((M28*2)&lt;=3000,1,0))))</f>
        <v>0</v>
      </c>
      <c r="AE44" s="31">
        <f>2*(IF(M28=0,0,IF(M28&lt;1501,0,IF(M28&gt;2000,0,IF(M28&lt;=2000,1,0)))))</f>
        <v>0</v>
      </c>
      <c r="AF44" s="31">
        <f>2*(IF(M28=0,0,IF(M28&lt;2001,0,IF(M28&gt;3000,0,IF(M28&lt;=3000,1,0)))))</f>
        <v>0</v>
      </c>
      <c r="AG44" s="31" t="e">
        <f>VLOOKUP(M35,U57:AJ112,16,0)</f>
        <v>#N/A</v>
      </c>
      <c r="AH44" s="31"/>
      <c r="BO44" s="452"/>
    </row>
    <row r="45" spans="2:74" ht="15.75" hidden="1" customHeight="1">
      <c r="S45" s="700"/>
      <c r="T45" s="700"/>
      <c r="U45" s="700"/>
      <c r="V45" s="700"/>
      <c r="W45" s="700"/>
      <c r="X45" s="700"/>
      <c r="Y45" s="700"/>
      <c r="Z45" s="700"/>
      <c r="AA45" s="700"/>
      <c r="AB45" s="453"/>
      <c r="AC45" s="31">
        <f>SUM(AC42:AC44)</f>
        <v>0</v>
      </c>
      <c r="AD45" s="31">
        <f>SUM(AD42:AD44)</f>
        <v>0</v>
      </c>
      <c r="AE45" s="31">
        <f>SUM(AE42:AE44)</f>
        <v>0</v>
      </c>
      <c r="AF45" s="31">
        <f>SUM(AF42:AF44)</f>
        <v>0</v>
      </c>
      <c r="AG45" s="31"/>
      <c r="AH45" s="31"/>
      <c r="BO45" s="452"/>
    </row>
    <row r="46" spans="2:74" ht="15.75" customHeight="1">
      <c r="S46" s="700"/>
      <c r="T46" s="700"/>
      <c r="U46" s="700"/>
      <c r="V46" s="700"/>
      <c r="W46" s="700"/>
      <c r="X46" s="700"/>
      <c r="Y46" s="700"/>
      <c r="Z46" s="700"/>
      <c r="AA46" s="700"/>
      <c r="AB46" s="453"/>
      <c r="AC46" s="31"/>
      <c r="AD46" s="31"/>
      <c r="AE46" s="31"/>
      <c r="AF46" s="31"/>
      <c r="AG46" s="31"/>
      <c r="AH46" s="31"/>
      <c r="BO46" s="452"/>
      <c r="BU46" s="1"/>
      <c r="BV46" s="1"/>
    </row>
    <row r="47" spans="2:74" ht="14.85" customHeight="1" thickBot="1">
      <c r="S47" s="700"/>
      <c r="T47" s="700"/>
      <c r="U47" s="700"/>
      <c r="V47" s="700"/>
      <c r="W47" s="700"/>
      <c r="X47" s="700"/>
      <c r="Y47" s="700"/>
      <c r="Z47" s="700"/>
      <c r="AA47" s="700"/>
      <c r="AB47" s="12"/>
      <c r="BO47" s="452"/>
    </row>
    <row r="48" spans="2:74" ht="14.85" customHeight="1" thickBot="1">
      <c r="B48" s="695" t="str">
        <f>'Translate&amp;Prices&amp;Logo'!$B$180</f>
        <v>Cena ramek</v>
      </c>
      <c r="C48" s="695"/>
      <c r="D48" s="286"/>
      <c r="E48" s="683">
        <f>SUM(E55:E56)*(1-(I15/100))</f>
        <v>0</v>
      </c>
      <c r="F48" s="684"/>
      <c r="G48" s="260" t="str">
        <f>VLOOKUP('Translate&amp;Prices&amp;Logo'!D1,kombinace_1!$EV$1:$EW$6,2,0)</f>
        <v>zl</v>
      </c>
      <c r="H48" s="284"/>
      <c r="I48" s="683">
        <f>SUM(I55:I56)*(1-(I15/100))</f>
        <v>0</v>
      </c>
      <c r="J48" s="684"/>
      <c r="K48" s="260" t="str">
        <f>VLOOKUP('Translate&amp;Prices&amp;Logo'!D1,kombinace_1!$EV$1:$EW$6,2,0)</f>
        <v>zl</v>
      </c>
      <c r="L48" s="284"/>
      <c r="M48" s="683">
        <f>SUM(M55:M56)*(1-(I15/100))</f>
        <v>0</v>
      </c>
      <c r="N48" s="684"/>
      <c r="O48" s="260" t="str">
        <f>VLOOKUP('Translate&amp;Prices&amp;Logo'!D1,kombinace_1!$EV$1:$EW$6,2,0)</f>
        <v>zl</v>
      </c>
      <c r="S48" s="12"/>
      <c r="T48" s="12"/>
      <c r="U48" s="12"/>
      <c r="V48" s="12"/>
      <c r="W48" s="12"/>
      <c r="X48" s="12"/>
      <c r="Y48" s="12"/>
      <c r="Z48" s="12"/>
      <c r="AA48" s="12"/>
      <c r="AB48" s="12"/>
      <c r="BO48" s="452"/>
      <c r="BV48" s="1"/>
    </row>
    <row r="49" spans="3:77" ht="14.85" customHeight="1">
      <c r="O49" s="50"/>
      <c r="P49" s="50"/>
      <c r="Q49" s="50"/>
      <c r="R49" s="50"/>
      <c r="S49" s="455"/>
      <c r="T49" s="455"/>
      <c r="U49" s="455"/>
      <c r="V49" s="456"/>
      <c r="W49" s="12"/>
      <c r="X49" s="12"/>
      <c r="Y49" s="12"/>
      <c r="Z49" s="12"/>
      <c r="AA49" s="12"/>
      <c r="AB49" s="12"/>
      <c r="BO49" s="452"/>
      <c r="BT49" s="1"/>
      <c r="BU49" s="1"/>
    </row>
    <row r="50" spans="3:77" ht="14.85" customHeight="1">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M50" s="250" t="str">
        <f>'Translate&amp;Prices&amp;Logo'!$B$322</f>
        <v>Standardowo ościeżnice przygotowane są pod okucia przesuwne H27AL (nośność 25 kg na ościeżnicę) i H37AL (nośność 35 kg na ościeżnicę).</v>
      </c>
      <c r="BO50" s="452"/>
    </row>
    <row r="51" spans="3:77" ht="14.85" customHeight="1">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250" t="str">
        <f>'Translate&amp;Prices&amp;Logo'!$B$321</f>
        <v>Wysokość ramki = wysokość wewnętrzna szafki - 6 mm.</v>
      </c>
      <c r="BO51" s="452"/>
      <c r="BU51" s="1"/>
    </row>
    <row r="52" spans="3:77" ht="14.85" customHeight="1">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M52" s="250" t="str">
        <f>'Translate&amp;Prices&amp;Logo'!$B$332</f>
        <v>Cena za ramy przesuwne jest taka sama jak cena za zwykłe ramy.</v>
      </c>
      <c r="BO52" s="452"/>
    </row>
    <row r="53" spans="3:77" ht="14.85" customHeight="1">
      <c r="BO53" s="452"/>
    </row>
    <row r="54" spans="3:77" ht="14.85" hidden="1" customHeight="1">
      <c r="BO54" s="452"/>
    </row>
    <row r="55" spans="3:77" ht="14.85" hidden="1" customHeight="1">
      <c r="C55" s="1" t="s">
        <v>3221</v>
      </c>
      <c r="E55" s="1">
        <f>IFERROR(((((E26/1000)+(E28/1000))*2)*(VLOOKUP(E35,'Translate&amp;Prices&amp;Logo'!B6:C76,2,0))+(VLOOKUP(E35,'Translate&amp;Prices&amp;Logo'!B6:D76,3,0)))*E30*G55,0)</f>
        <v>0</v>
      </c>
      <c r="G55" s="1">
        <f>IF(E26&gt;=2600,1.3,IF(E28&gt;=2600,1.3,1))</f>
        <v>1</v>
      </c>
      <c r="I55" s="1">
        <f>IFERROR(((((I26/1000)+(I28/1000))*2)*(VLOOKUP(I35,'Translate&amp;Prices&amp;Logo'!B6:C76,2,0))+(VLOOKUP(I35,'Translate&amp;Prices&amp;Logo'!B6:D76,3,0)))*I30*K55,0)</f>
        <v>0</v>
      </c>
      <c r="K55" s="1">
        <f>IF(I26&gt;=2600,1.3,IF(I28&gt;=2600,1.3,1))</f>
        <v>1</v>
      </c>
      <c r="M55" s="1">
        <f>IFERROR(((((M26/1000)+(M28/1000))*2)*(VLOOKUP(M35,'Translate&amp;Prices&amp;Logo'!B6:C76,2,0))+(VLOOKUP(M35,'Translate&amp;Prices&amp;Logo'!B6:D76,3,0)))*M30*O55,0)</f>
        <v>0</v>
      </c>
      <c r="O55" s="1">
        <f>IF(M26&gt;=2600,1.3,IF(M28&gt;=2600,1.3,1))</f>
        <v>1</v>
      </c>
      <c r="BO55" s="452"/>
      <c r="BV55" s="448"/>
      <c r="BY55" s="112"/>
    </row>
    <row r="56" spans="3:77" ht="14.85" hidden="1" customHeight="1">
      <c r="C56" s="1" t="s">
        <v>3222</v>
      </c>
      <c r="E56" s="1">
        <f>IFERROR(((VLOOKUP(E39,'Translate&amp;Prices&amp;Logo'!B101:D169,2,0))*((E28/1000)*(E26/1000)))*E30,0)</f>
        <v>0</v>
      </c>
      <c r="I56" s="1">
        <f>IFERROR(((VLOOKUP(I39,'Translate&amp;Prices&amp;Logo'!B101:D169,2,0))*((I28/1000)*(I26/1000)))*I30,0)</f>
        <v>0</v>
      </c>
      <c r="M56" s="1">
        <f>IFERROR(((VLOOKUP(M39,'Translate&amp;Prices&amp;Logo'!B101:D169,2,0))*((M28/1000)*(M26/1000)))*M30,0)</f>
        <v>0</v>
      </c>
      <c r="BO56" s="445"/>
      <c r="BX56" s="112"/>
      <c r="BY56" s="112"/>
    </row>
    <row r="57" spans="3:77" ht="14.85" hidden="1" customHeight="1">
      <c r="E57" s="34" t="e">
        <f t="array" aca="1" ref="E57:E100" ca="1">IF(VLOOKUP(E35,kombinace_1!A3:C68,3,0)="N",INDIRECT($G$41),_corleone)</f>
        <v>#N/A</v>
      </c>
      <c r="I57" s="1" t="e">
        <f t="array" aca="1" ref="I57:I100" ca="1">IF(VLOOKUP(I35,kombinace_1!A3:C68,3,0)="N",INDIRECT($G$41),_corleone)</f>
        <v>#N/A</v>
      </c>
      <c r="M57" s="1" t="e">
        <f t="array" aca="1" ref="M57:M100" ca="1">IF(VLOOKUP(M35,kombinace_1!A3:C68,3,0)="N",INDIRECT($G$41),_corleone)</f>
        <v>#N/A</v>
      </c>
      <c r="U57" t="str">
        <f>'Translate&amp;Prices&amp;Logo'!$B$6</f>
        <v>BRW (elox.) - maksymalna zalecana długość profilu 2500 mm</v>
      </c>
      <c r="AJ57" s="1">
        <v>20</v>
      </c>
      <c r="BO57" s="445"/>
    </row>
    <row r="58" spans="3:77" ht="14.85" hidden="1" customHeight="1">
      <c r="E58" s="34" t="e">
        <f ca="1"/>
        <v>#N/A</v>
      </c>
      <c r="I58" s="1" t="e">
        <f ca="1"/>
        <v>#N/A</v>
      </c>
      <c r="M58" s="1" t="e">
        <f ca="1"/>
        <v>#N/A</v>
      </c>
      <c r="U58" t="str">
        <f>'Translate&amp;Prices&amp;Logo'!$B$8</f>
        <v>BRW bialy matowy RAL 9003 - maksymalna zalecana długość profilu 2500 mm</v>
      </c>
      <c r="AJ58" s="1">
        <v>20</v>
      </c>
      <c r="BO58" s="445"/>
    </row>
    <row r="59" spans="3:77" ht="14.85" hidden="1" customHeight="1">
      <c r="E59" s="34" t="e">
        <f ca="1"/>
        <v>#N/A</v>
      </c>
      <c r="I59" s="1" t="e">
        <f ca="1"/>
        <v>#N/A</v>
      </c>
      <c r="M59" s="1" t="e">
        <f ca="1"/>
        <v>#N/A</v>
      </c>
      <c r="U59" t="str">
        <f>'Translate&amp;Prices&amp;Logo'!$B$9</f>
        <v>BRW bialy połysk RAL 9003 - maksymalna zalecana długość profilu 2500 mm</v>
      </c>
      <c r="AJ59" s="1">
        <v>20</v>
      </c>
      <c r="BO59" s="445"/>
    </row>
    <row r="60" spans="3:77" ht="14.85" hidden="1" customHeight="1">
      <c r="E60" s="34" t="e">
        <f ca="1"/>
        <v>#N/A</v>
      </c>
      <c r="I60" s="1" t="e">
        <f ca="1"/>
        <v>#N/A</v>
      </c>
      <c r="M60" s="1" t="e">
        <f ca="1"/>
        <v>#N/A</v>
      </c>
      <c r="U60" t="str">
        <f>'Translate&amp;Prices&amp;Logo'!$B$11</f>
        <v>BRW szczotkowany - maksymalna zalecana długość profilu 2500 mm</v>
      </c>
      <c r="AJ60" s="1">
        <v>20</v>
      </c>
      <c r="BO60" s="445"/>
    </row>
    <row r="61" spans="3:77" ht="14.85" hidden="1" customHeight="1">
      <c r="E61" s="34" t="e">
        <f ca="1"/>
        <v>#N/A</v>
      </c>
      <c r="I61" s="1" t="e">
        <f ca="1"/>
        <v>#N/A</v>
      </c>
      <c r="M61" s="1" t="e">
        <f ca="1"/>
        <v>#N/A</v>
      </c>
      <c r="U61" t="str">
        <f>'Translate&amp;Prices&amp;Logo'!$B$12</f>
        <v>BRW Czarny matowy - maksymalna zalecana długość profilu 2500 mm</v>
      </c>
      <c r="AJ61" s="1">
        <v>20</v>
      </c>
      <c r="BO61" s="445"/>
    </row>
    <row r="62" spans="3:77" ht="14.85" hidden="1" customHeight="1">
      <c r="E62" s="34" t="e">
        <f ca="1"/>
        <v>#N/A</v>
      </c>
      <c r="I62" s="1" t="e">
        <f ca="1"/>
        <v>#N/A</v>
      </c>
      <c r="M62" s="1" t="e">
        <f ca="1"/>
        <v>#N/A</v>
      </c>
      <c r="U62" t="str">
        <f>'Translate&amp;Prices&amp;Logo'!$B$14</f>
        <v>BRW czarna szczotka - maksymalna zalecana długość profilu 2500 mm</v>
      </c>
      <c r="AJ62" s="1">
        <v>20</v>
      </c>
      <c r="BO62" s="445"/>
    </row>
    <row r="63" spans="3:77" ht="14.85" hidden="1" customHeight="1">
      <c r="E63" s="34" t="e">
        <f ca="1"/>
        <v>#N/A</v>
      </c>
      <c r="I63" s="1" t="e">
        <f ca="1"/>
        <v>#N/A</v>
      </c>
      <c r="M63" s="1" t="e">
        <f ca="1"/>
        <v>#N/A</v>
      </c>
      <c r="U63" t="str">
        <f>'Translate&amp;Prices&amp;Logo'!$B$15</f>
        <v>BRW INOX ACIER gratta - maksymalna zalecana długość profilu 2500 mm</v>
      </c>
      <c r="AJ63" s="1">
        <v>20</v>
      </c>
      <c r="BO63" s="445"/>
    </row>
    <row r="64" spans="3:77" ht="14.85" hidden="1" customHeight="1">
      <c r="E64" s="34" t="e">
        <f ca="1"/>
        <v>#N/A</v>
      </c>
      <c r="I64" s="1" t="e">
        <f ca="1"/>
        <v>#N/A</v>
      </c>
      <c r="M64" s="1" t="e">
        <f ca="1"/>
        <v>#N/A</v>
      </c>
      <c r="U64" t="str">
        <f>'Translate&amp;Prices&amp;Logo'!$B$7</f>
        <v>BRW antracyt RAL 7021 - maksymalna zalecana długość profilu 2500 mm</v>
      </c>
      <c r="AJ64" s="1">
        <v>20</v>
      </c>
      <c r="BO64" s="445"/>
    </row>
    <row r="65" spans="5:71" ht="14.85" hidden="1" customHeight="1">
      <c r="E65" s="34" t="e">
        <f ca="1"/>
        <v>#N/A</v>
      </c>
      <c r="I65" s="1" t="e">
        <f ca="1"/>
        <v>#N/A</v>
      </c>
      <c r="M65" s="1" t="e">
        <f ca="1"/>
        <v>#N/A</v>
      </c>
      <c r="U65" t="str">
        <f>'Translate&amp;Prices&amp;Logo'!$B$71</f>
        <v>BRW champagne - maksymalna zalecana długość profilu 2500 mm</v>
      </c>
      <c r="AJ65" s="1">
        <v>20</v>
      </c>
      <c r="BO65" s="445"/>
    </row>
    <row r="66" spans="5:71" ht="14.85" hidden="1" customHeight="1">
      <c r="E66" s="34" t="e">
        <f ca="1"/>
        <v>#N/A</v>
      </c>
      <c r="I66" s="1" t="e">
        <f ca="1"/>
        <v>#N/A</v>
      </c>
      <c r="M66" s="1" t="e">
        <f ca="1"/>
        <v>#N/A</v>
      </c>
      <c r="U66" t="str">
        <f>'Translate&amp;Prices&amp;Logo'!$B$72</f>
        <v>BRW champagne light - maksymalna zalecana długość profilu 2500 mm</v>
      </c>
      <c r="AJ66" s="1">
        <v>20</v>
      </c>
    </row>
    <row r="67" spans="5:71" ht="14.85" hidden="1" customHeight="1">
      <c r="E67" s="34" t="e">
        <f ca="1"/>
        <v>#N/A</v>
      </c>
      <c r="I67" s="1" t="e">
        <f ca="1"/>
        <v>#N/A</v>
      </c>
      <c r="M67" s="1" t="e">
        <f ca="1"/>
        <v>#N/A</v>
      </c>
      <c r="U67" t="str">
        <f>'Translate&amp;Prices&amp;Logo'!$B$10</f>
        <v>BRW brąz - maksymalna zalecana długość profilu 2500 mm</v>
      </c>
      <c r="AJ67" s="1">
        <v>20</v>
      </c>
      <c r="BN67" s="449"/>
      <c r="BO67" s="311"/>
      <c r="BP67" s="311"/>
      <c r="BQ67" s="311"/>
      <c r="BR67" s="311"/>
      <c r="BS67" s="311"/>
    </row>
    <row r="68" spans="5:71" ht="14.85" hidden="1" customHeight="1">
      <c r="E68" s="34" t="e">
        <f ca="1"/>
        <v>#N/A</v>
      </c>
      <c r="I68" s="1" t="e">
        <f ca="1"/>
        <v>#N/A</v>
      </c>
      <c r="M68" s="1" t="e">
        <f ca="1"/>
        <v>#N/A</v>
      </c>
      <c r="U68" t="str">
        <f>'Translate&amp;Prices&amp;Logo'!$B$16</f>
        <v>BRW INOX LIJA - maksymalna zalecana długość profilu 2500 mm</v>
      </c>
      <c r="AJ68" s="1">
        <v>20</v>
      </c>
      <c r="BN68" s="450"/>
      <c r="BO68" s="420"/>
      <c r="BP68" s="420"/>
      <c r="BQ68" s="420"/>
      <c r="BR68" s="174"/>
      <c r="BS68" s="174"/>
    </row>
    <row r="69" spans="5:71" ht="14.85" hidden="1" customHeight="1">
      <c r="E69" s="34" t="e">
        <f ca="1"/>
        <v>#N/A</v>
      </c>
      <c r="I69" s="1" t="e">
        <f ca="1"/>
        <v>#N/A</v>
      </c>
      <c r="M69" s="1" t="e">
        <f ca="1"/>
        <v>#N/A</v>
      </c>
      <c r="U69" t="str">
        <f>'Translate&amp;Prices&amp;Logo'!$B$64</f>
        <v>BRW kaszmirowy - maksymalna zalecana długość profilu 2500 mm</v>
      </c>
      <c r="AJ69" s="1">
        <v>20</v>
      </c>
      <c r="BN69" s="10"/>
      <c r="BO69" s="420"/>
      <c r="BP69" s="420"/>
      <c r="BQ69" s="420"/>
      <c r="BR69" s="174"/>
      <c r="BS69" s="174"/>
    </row>
    <row r="70" spans="5:71" ht="14.85" hidden="1" customHeight="1">
      <c r="E70" s="34" t="e">
        <f ca="1"/>
        <v>#N/A</v>
      </c>
      <c r="I70" s="1" t="e">
        <f ca="1"/>
        <v>#N/A</v>
      </c>
      <c r="M70" s="1" t="e">
        <f ca="1"/>
        <v>#N/A</v>
      </c>
      <c r="U70" t="str">
        <f>'Translate&amp;Prices&amp;Logo'!$B$13</f>
        <v>BRW złota- maksymalna zalecana długość profilu 2500 mm</v>
      </c>
      <c r="AJ70" s="1">
        <v>20</v>
      </c>
      <c r="BN70" s="10"/>
      <c r="BO70"/>
      <c r="BP70"/>
      <c r="BQ70"/>
      <c r="BR70"/>
      <c r="BS70" s="174"/>
    </row>
    <row r="71" spans="5:71" ht="14.85" hidden="1" customHeight="1">
      <c r="E71" s="34" t="e">
        <f ca="1"/>
        <v>#N/A</v>
      </c>
      <c r="I71" s="1" t="e">
        <f ca="1"/>
        <v>#N/A</v>
      </c>
      <c r="M71" s="1" t="e">
        <f ca="1"/>
        <v>#N/A</v>
      </c>
      <c r="U71" t="str">
        <f>'Translate&amp;Prices&amp;Logo'!$B$55</f>
        <v>BRW złota szczotkowany - maksymalna zalecana zalecana długość profilu 2500 mm</v>
      </c>
      <c r="AJ71" s="1">
        <v>40</v>
      </c>
    </row>
    <row r="72" spans="5:71" ht="14.85" hidden="1" customHeight="1">
      <c r="E72" s="34" t="e">
        <f ca="1"/>
        <v>#N/A</v>
      </c>
      <c r="I72" s="1" t="e">
        <f ca="1"/>
        <v>#N/A</v>
      </c>
      <c r="M72" s="1" t="e">
        <f ca="1"/>
        <v>#N/A</v>
      </c>
      <c r="U72" t="str">
        <f>'Translate&amp;Prices&amp;Logo'!$B$17</f>
        <v>Corleone (elox.)- maksymalna zalecana długość profilu 1500 mm</v>
      </c>
      <c r="AJ72" s="1">
        <v>40</v>
      </c>
    </row>
    <row r="73" spans="5:71" ht="14.85" hidden="1" customHeight="1">
      <c r="E73" s="34" t="e">
        <f ca="1"/>
        <v>#N/A</v>
      </c>
      <c r="I73" s="1" t="e">
        <f ca="1"/>
        <v>#N/A</v>
      </c>
      <c r="M73" s="1" t="e">
        <f ca="1"/>
        <v>#N/A</v>
      </c>
      <c r="U73" t="str">
        <f>'Translate&amp;Prices&amp;Logo'!$B$18</f>
        <v>Corleone czarny matowy - maksymalna zalecana długość profilu 1500 mm</v>
      </c>
      <c r="AJ73" s="1">
        <v>20</v>
      </c>
    </row>
    <row r="74" spans="5:71" ht="14.85" hidden="1" customHeight="1">
      <c r="E74" s="34" t="e">
        <f ca="1"/>
        <v>#N/A</v>
      </c>
      <c r="I74" s="1" t="e">
        <f ca="1"/>
        <v>#N/A</v>
      </c>
      <c r="M74" s="1" t="e">
        <f ca="1"/>
        <v>#N/A</v>
      </c>
      <c r="U74" t="str">
        <f>'Translate&amp;Prices&amp;Logo'!$B$59</f>
        <v>ASTI  czarne  - maksymalna zalecana długość profilu 2150</v>
      </c>
      <c r="AJ74" s="1">
        <v>20</v>
      </c>
      <c r="BO74" s="337"/>
      <c r="BP74" s="337"/>
      <c r="BQ74" s="337"/>
      <c r="BR74" s="337"/>
      <c r="BS74" s="337"/>
    </row>
    <row r="75" spans="5:71" ht="14.85" hidden="1" customHeight="1">
      <c r="E75" s="34" t="e">
        <f ca="1"/>
        <v>#N/A</v>
      </c>
      <c r="I75" s="1" t="e">
        <f ca="1"/>
        <v>#N/A</v>
      </c>
      <c r="M75" s="1" t="e">
        <f ca="1"/>
        <v>#N/A</v>
      </c>
      <c r="U75" t="str">
        <f>'Translate&amp;Prices&amp;Logo'!$B$60</f>
        <v>ASTI  antracyt mat RAL 7021 mat lakier - maksymalna zalecana długość profilu 2500 mm</v>
      </c>
      <c r="AJ75" s="1">
        <v>40</v>
      </c>
      <c r="BO75" s="337"/>
      <c r="BP75" s="337"/>
      <c r="BQ75" s="337"/>
      <c r="BR75" s="337"/>
      <c r="BS75" s="337"/>
    </row>
    <row r="76" spans="5:71" ht="14.85" hidden="1" customHeight="1">
      <c r="E76" s="34" t="e">
        <f ca="1"/>
        <v>#N/A</v>
      </c>
      <c r="I76" s="1" t="e">
        <f ca="1"/>
        <v>#N/A</v>
      </c>
      <c r="M76" s="1" t="e">
        <f ca="1"/>
        <v>#N/A</v>
      </c>
      <c r="U76" t="str">
        <f>'Translate&amp;Prices&amp;Logo'!$B$19</f>
        <v>Imola (elox.) - maksymalna zalecana długość profilu 2500 mm</v>
      </c>
      <c r="AJ76" s="1">
        <v>40</v>
      </c>
      <c r="BO76" s="337"/>
      <c r="BP76" s="337"/>
      <c r="BQ76" s="337"/>
      <c r="BR76" s="337"/>
      <c r="BS76" s="337"/>
    </row>
    <row r="77" spans="5:71" ht="14.85" hidden="1" customHeight="1">
      <c r="E77" s="34" t="e">
        <f ca="1"/>
        <v>#N/A</v>
      </c>
      <c r="I77" s="1" t="e">
        <f ca="1"/>
        <v>#N/A</v>
      </c>
      <c r="M77" s="1" t="e">
        <f ca="1"/>
        <v>#N/A</v>
      </c>
      <c r="U77" t="str">
        <f>'Translate&amp;Prices&amp;Logo'!$B$20</f>
        <v>Imola Czarny matowy - maksymalna zalecana długość profilu 2500 mm</v>
      </c>
      <c r="AJ77" s="1">
        <v>40</v>
      </c>
      <c r="BO77" s="337"/>
      <c r="BP77" s="337"/>
      <c r="BQ77" s="337"/>
      <c r="BR77" s="337"/>
      <c r="BS77" s="337"/>
    </row>
    <row r="78" spans="5:71" ht="14.85" hidden="1" customHeight="1">
      <c r="E78" s="34" t="e">
        <f ca="1"/>
        <v>#N/A</v>
      </c>
      <c r="I78" s="1" t="e">
        <f ca="1"/>
        <v>#N/A</v>
      </c>
      <c r="M78" s="1" t="e">
        <f ca="1"/>
        <v>#N/A</v>
      </c>
      <c r="U78" t="str">
        <f>'Translate&amp;Prices&amp;Logo'!$B$21</f>
        <v>Imola bialy matowy RAL 9003 - maksymalna zalecana długość profilu 2500 mm</v>
      </c>
      <c r="AJ78" s="1">
        <v>40</v>
      </c>
    </row>
    <row r="79" spans="5:71" ht="14.85" hidden="1" customHeight="1">
      <c r="E79" s="34" t="e">
        <f ca="1"/>
        <v>#N/A</v>
      </c>
      <c r="I79" s="1" t="e">
        <f ca="1"/>
        <v>#N/A</v>
      </c>
      <c r="M79" s="1" t="e">
        <f ca="1"/>
        <v>#N/A</v>
      </c>
      <c r="U79" t="str">
        <f>'Translate&amp;Prices&amp;Logo'!$B$45</f>
        <v>Imola złota - maksymalna zalecana zalecana długość profilu 2150 mm</v>
      </c>
      <c r="AJ79" s="1">
        <v>40</v>
      </c>
    </row>
    <row r="80" spans="5:71" ht="14.85" hidden="1" customHeight="1">
      <c r="E80" s="34" t="e">
        <f ca="1"/>
        <v>#N/A</v>
      </c>
      <c r="I80" s="1" t="e">
        <f ca="1"/>
        <v>#N/A</v>
      </c>
      <c r="M80" s="1" t="e">
        <f ca="1"/>
        <v>#N/A</v>
      </c>
      <c r="U80" t="str">
        <f>'Translate&amp;Prices&amp;Logo'!$B$22</f>
        <v>Modena (elox.) - maksymalna zalecana długość profilu 2500 mm</v>
      </c>
      <c r="AJ80" s="1">
        <v>40</v>
      </c>
    </row>
    <row r="81" spans="5:72" ht="14.85" hidden="1" customHeight="1">
      <c r="E81" s="34" t="e">
        <f ca="1"/>
        <v>#N/A</v>
      </c>
      <c r="I81" s="1" t="e">
        <f ca="1"/>
        <v>#N/A</v>
      </c>
      <c r="M81" s="1" t="e">
        <f ca="1"/>
        <v>#N/A</v>
      </c>
      <c r="U81" t="str">
        <f>'Translate&amp;Prices&amp;Logo'!$B$23</f>
        <v>Modena Czarny matowy - maksymalna zalecana długość profilu 2500 mm</v>
      </c>
      <c r="AJ81" s="1">
        <v>40</v>
      </c>
    </row>
    <row r="82" spans="5:72" ht="14.85" hidden="1" customHeight="1">
      <c r="E82" s="34" t="e">
        <f ca="1"/>
        <v>#N/A</v>
      </c>
      <c r="I82" s="1" t="e">
        <f ca="1"/>
        <v>#N/A</v>
      </c>
      <c r="M82" s="1" t="e">
        <f ca="1"/>
        <v>#N/A</v>
      </c>
      <c r="U82" t="str">
        <f>'Translate&amp;Prices&amp;Logo'!$B$25</f>
        <v>Modena czarna szczotka - maksymalna zalecana długość profilu 2500 mm</v>
      </c>
      <c r="AJ82" s="1">
        <v>40</v>
      </c>
    </row>
    <row r="83" spans="5:72" ht="14.85" hidden="1" customHeight="1">
      <c r="E83" s="34" t="e">
        <f ca="1"/>
        <v>#N/A</v>
      </c>
      <c r="I83" s="1" t="e">
        <f ca="1"/>
        <v>#N/A</v>
      </c>
      <c r="M83" s="1" t="e">
        <f ca="1"/>
        <v>#N/A</v>
      </c>
      <c r="U83" t="str">
        <f>'Translate&amp;Prices&amp;Logo'!$B$26</f>
        <v>Modena INOX LIJA - maksymalna zalecana długość profilu 2500 mm</v>
      </c>
      <c r="AJ83" s="1">
        <v>40</v>
      </c>
      <c r="BT83" s="1"/>
    </row>
    <row r="84" spans="5:72" ht="14.85" hidden="1" customHeight="1">
      <c r="E84" s="34" t="e">
        <f ca="1"/>
        <v>#N/A</v>
      </c>
      <c r="I84" s="1" t="e">
        <f ca="1"/>
        <v>#N/A</v>
      </c>
      <c r="M84" s="1" t="e">
        <f ca="1"/>
        <v>#N/A</v>
      </c>
      <c r="U84" t="str">
        <f>'Translate&amp;Prices&amp;Logo'!$B$61</f>
        <v>Modena brąz - maksymalna zalecana długość profilu 2500 mm</v>
      </c>
      <c r="AJ84" s="1">
        <v>40</v>
      </c>
      <c r="BT84" s="1"/>
    </row>
    <row r="85" spans="5:72" ht="14.85" hidden="1" customHeight="1">
      <c r="E85" s="34" t="e">
        <f ca="1"/>
        <v>#N/A</v>
      </c>
      <c r="I85" s="1" t="e">
        <f ca="1"/>
        <v>#N/A</v>
      </c>
      <c r="M85" s="1" t="e">
        <f ca="1"/>
        <v>#N/A</v>
      </c>
      <c r="U85" t="str">
        <f>'Translate&amp;Prices&amp;Logo'!$B$29</f>
        <v>Pisa (elox.) - maksymalna zalecana długość profilu 2500 mm</v>
      </c>
      <c r="AJ85" s="1">
        <v>40</v>
      </c>
      <c r="BT85" s="1"/>
    </row>
    <row r="86" spans="5:72" ht="14.85" hidden="1" customHeight="1">
      <c r="E86" s="34" t="e">
        <f ca="1"/>
        <v>#N/A</v>
      </c>
      <c r="I86" s="1" t="e">
        <f ca="1"/>
        <v>#N/A</v>
      </c>
      <c r="M86" s="1" t="e">
        <f ca="1"/>
        <v>#N/A</v>
      </c>
      <c r="U86" t="str">
        <f>'Translate&amp;Prices&amp;Logo'!$B$52</f>
        <v>Pisa biały matowy RAL 9003 - maksymalna zalecana zalecana długość profilu 2500 mm</v>
      </c>
      <c r="AJ86" s="1">
        <v>40</v>
      </c>
      <c r="BT86" s="1"/>
    </row>
    <row r="87" spans="5:72" ht="14.85" hidden="1" customHeight="1">
      <c r="E87" s="34" t="e">
        <f ca="1"/>
        <v>#N/A</v>
      </c>
      <c r="I87" s="1" t="e">
        <f ca="1"/>
        <v>#N/A</v>
      </c>
      <c r="M87" s="1" t="e">
        <f ca="1"/>
        <v>#N/A</v>
      </c>
      <c r="U87" t="str">
        <f>'Translate&amp;Prices&amp;Logo'!$B$53</f>
        <v>Pisa biały połysk RAL 9003 - maksymalna zalecana zalecana długość profilu 2500 mm</v>
      </c>
      <c r="AJ87" s="1">
        <v>40</v>
      </c>
      <c r="BT87" s="1"/>
    </row>
    <row r="88" spans="5:72" ht="14.85" hidden="1" customHeight="1">
      <c r="E88" s="34" t="e">
        <f ca="1"/>
        <v>#N/A</v>
      </c>
      <c r="I88" s="1" t="e">
        <f ca="1"/>
        <v>#N/A</v>
      </c>
      <c r="M88" s="1" t="e">
        <f ca="1"/>
        <v>#N/A</v>
      </c>
      <c r="U88" t="str">
        <f>'Translate&amp;Prices&amp;Logo'!$B$30</f>
        <v>Pisa Czarny matowy - maksymalna zalecana długość profilu 2500 mm</v>
      </c>
      <c r="AJ88" s="1">
        <v>20</v>
      </c>
    </row>
    <row r="89" spans="5:72" ht="14.85" hidden="1" customHeight="1">
      <c r="E89" s="34" t="e">
        <f ca="1"/>
        <v>#N/A</v>
      </c>
      <c r="I89" s="1" t="e">
        <f ca="1"/>
        <v>#N/A</v>
      </c>
      <c r="M89" s="1" t="e">
        <f ca="1"/>
        <v>#N/A</v>
      </c>
      <c r="U89" t="str">
        <f>'Translate&amp;Prices&amp;Logo'!$B$58</f>
        <v>Pisa złota - maksymalna zalecana długość profilu 2150 mm</v>
      </c>
      <c r="AJ89" s="1">
        <v>20</v>
      </c>
    </row>
    <row r="90" spans="5:72" ht="14.85" hidden="1" customHeight="1">
      <c r="E90" s="34" t="e">
        <f ca="1"/>
        <v>#N/A</v>
      </c>
      <c r="I90" s="1" t="e">
        <f ca="1"/>
        <v>#N/A</v>
      </c>
      <c r="M90" s="1" t="e">
        <f ca="1"/>
        <v>#N/A</v>
      </c>
      <c r="U90" t="str">
        <f>'Translate&amp;Prices&amp;Logo'!$B$50</f>
        <v>Rocca (elox.) - maksymalna zalecana zalecana długość profilu 2150 mm</v>
      </c>
      <c r="AJ90" s="1">
        <v>20</v>
      </c>
    </row>
    <row r="91" spans="5:72" ht="14.85" hidden="1" customHeight="1">
      <c r="E91" s="34" t="e">
        <f ca="1"/>
        <v>#N/A</v>
      </c>
      <c r="I91" s="1" t="e">
        <f ca="1"/>
        <v>#N/A</v>
      </c>
      <c r="M91" s="1" t="e">
        <f ca="1"/>
        <v>#N/A</v>
      </c>
      <c r="U91" t="str">
        <f>'Translate&amp;Prices&amp;Logo'!$B$42</f>
        <v>Rocca czarny matowy - maksymalna zalecana zalecana długość profilu 2150 mm</v>
      </c>
      <c r="AJ91" s="1">
        <v>20</v>
      </c>
    </row>
    <row r="92" spans="5:72" ht="14.85" hidden="1" customHeight="1">
      <c r="E92" s="34" t="e">
        <f ca="1"/>
        <v>#N/A</v>
      </c>
      <c r="I92" s="1" t="e">
        <f ca="1"/>
        <v>#N/A</v>
      </c>
      <c r="M92" s="1" t="e">
        <f ca="1"/>
        <v>#N/A</v>
      </c>
      <c r="U92" t="str">
        <f>'Translate&amp;Prices&amp;Logo'!$B$63</f>
        <v>Treviso czarny matowy - maksymalna zalecana długość profilu 2750 mm</v>
      </c>
      <c r="AJ92" s="1">
        <v>20</v>
      </c>
    </row>
    <row r="93" spans="5:72" ht="14.85" hidden="1" customHeight="1">
      <c r="E93" s="34" t="e">
        <f ca="1"/>
        <v>#N/A</v>
      </c>
      <c r="I93" s="1" t="e">
        <f ca="1"/>
        <v>#N/A</v>
      </c>
      <c r="M93" s="1" t="e">
        <f ca="1"/>
        <v>#N/A</v>
      </c>
      <c r="U93" t="str">
        <f>'Translate&amp;Prices&amp;Logo'!$B$34</f>
        <v>Verona (elox.) - maksymalna zalecana zalecana długość profilu 2500 mm</v>
      </c>
      <c r="AJ93" s="1">
        <v>20</v>
      </c>
    </row>
    <row r="94" spans="5:72" ht="14.85" hidden="1" customHeight="1">
      <c r="E94" s="34" t="e">
        <f ca="1"/>
        <v>#N/A</v>
      </c>
      <c r="I94" s="1" t="e">
        <f ca="1"/>
        <v>#N/A</v>
      </c>
      <c r="M94" s="1" t="e">
        <f ca="1"/>
        <v>#N/A</v>
      </c>
      <c r="U94" t="str">
        <f>'Translate&amp;Prices&amp;Logo'!$B$35</f>
        <v>Verona szczotkowany - maksymalna zalecana zalecana długość profilu 2500 mm</v>
      </c>
      <c r="AJ94" s="1">
        <v>20</v>
      </c>
    </row>
    <row r="95" spans="5:72" ht="14.85" hidden="1" customHeight="1">
      <c r="E95" s="34" t="e">
        <f ca="1"/>
        <v>#N/A</v>
      </c>
      <c r="I95" s="1" t="e">
        <f ca="1"/>
        <v>#N/A</v>
      </c>
      <c r="M95" s="1" t="e">
        <f ca="1"/>
        <v>#N/A</v>
      </c>
      <c r="U95" t="str">
        <f>'Translate&amp;Prices&amp;Logo'!$B$37</f>
        <v>Verona czarny matowy - maksymalna zalecana zalecana długość profilu 2500 mm</v>
      </c>
      <c r="AJ95" s="1">
        <v>20</v>
      </c>
    </row>
    <row r="96" spans="5:72" ht="14.85" hidden="1" customHeight="1">
      <c r="E96" s="34" t="e">
        <f ca="1"/>
        <v>#N/A</v>
      </c>
      <c r="I96" s="1" t="e">
        <f ca="1"/>
        <v>#N/A</v>
      </c>
      <c r="M96" s="1" t="e">
        <f ca="1"/>
        <v>#N/A</v>
      </c>
      <c r="U96" t="str">
        <f>'Translate&amp;Prices&amp;Logo'!$B$36</f>
        <v>Verona czarny połysk - maksymalna zalecana zalecana długość profilu 2500 mm</v>
      </c>
      <c r="AJ96" s="1">
        <v>20</v>
      </c>
    </row>
    <row r="97" spans="5:36" ht="14.85" hidden="1" customHeight="1">
      <c r="E97" s="34" t="e">
        <f ca="1"/>
        <v>#N/A</v>
      </c>
      <c r="I97" s="1" t="e">
        <f ca="1"/>
        <v>#N/A</v>
      </c>
      <c r="M97" s="1" t="e">
        <f ca="1"/>
        <v>#N/A</v>
      </c>
      <c r="U97" t="str">
        <f>'Translate&amp;Prices&amp;Logo'!$B$38</f>
        <v>Verona braz - maksymalna zalecana zalecana długość profilu 2500 mm</v>
      </c>
      <c r="AJ97" s="1">
        <v>20</v>
      </c>
    </row>
    <row r="98" spans="5:36" ht="14.85" hidden="1" customHeight="1">
      <c r="E98" s="34" t="e">
        <f ca="1"/>
        <v>#N/A</v>
      </c>
      <c r="I98" s="1" t="e">
        <f ca="1"/>
        <v>#N/A</v>
      </c>
      <c r="M98" s="1" t="e">
        <f ca="1"/>
        <v>#N/A</v>
      </c>
      <c r="U98" t="str">
        <f>'Translate&amp;Prices&amp;Logo'!$B$39</f>
        <v>Verona szampański - maksymalna zalecana zalecana długość profilu 2500 mm</v>
      </c>
      <c r="AJ98" s="1">
        <v>20</v>
      </c>
    </row>
    <row r="99" spans="5:36" ht="14.85" hidden="1" customHeight="1">
      <c r="E99" s="34" t="e">
        <f ca="1"/>
        <v>#N/A</v>
      </c>
      <c r="I99" s="1" t="e">
        <f ca="1"/>
        <v>#N/A</v>
      </c>
      <c r="M99" s="1" t="e">
        <f ca="1"/>
        <v>#N/A</v>
      </c>
      <c r="U99" t="str">
        <f>'Translate&amp;Prices&amp;Logo'!$B$40</f>
        <v>Verona Inox szczotkowany (Inox Lija)- maksymalna zalecana zalecana długość profilu 2500 mm</v>
      </c>
      <c r="AJ99" s="1">
        <v>20</v>
      </c>
    </row>
    <row r="100" spans="5:36" ht="14.85" hidden="1" customHeight="1">
      <c r="E100" s="34" t="e">
        <f ca="1"/>
        <v>#N/A</v>
      </c>
      <c r="I100" s="1" t="e">
        <f ca="1"/>
        <v>#N/A</v>
      </c>
      <c r="M100" s="1" t="e">
        <f ca="1"/>
        <v>#N/A</v>
      </c>
      <c r="U100" t="str">
        <f>'Translate&amp;Prices&amp;Logo'!$B$41</f>
        <v>Verona Acier Gratta - maksymalna zalecana zalecana długość profilu 2500 mm</v>
      </c>
      <c r="AJ100" s="1">
        <v>45</v>
      </c>
    </row>
    <row r="101" spans="5:36" ht="14.85" hidden="1" customHeight="1">
      <c r="E101" s="34"/>
      <c r="U101" t="str">
        <f>'Translate&amp;Prices&amp;Logo'!$B$62</f>
        <v>Verona Ivory mat - maksymalna zalecana zalecana długość profilu 2150 mm</v>
      </c>
      <c r="AJ101" s="1">
        <v>45</v>
      </c>
    </row>
    <row r="102" spans="5:36" ht="14.85" hidden="1" customHeight="1">
      <c r="E102" s="34"/>
      <c r="U102" t="str">
        <f>'Translate&amp;Prices&amp;Logo'!$B$65</f>
        <v>Verona kaszmirowy - maksymalna zalecana długość profilu 2150 mm</v>
      </c>
      <c r="AJ102" s="1">
        <v>45</v>
      </c>
    </row>
    <row r="103" spans="5:36" ht="14.85" hidden="1" customHeight="1">
      <c r="E103" s="34"/>
      <c r="U103" t="str">
        <f>'Translate&amp;Prices&amp;Logo'!$B$24</f>
        <v>Verona złota - maksymalna zalecana długość profilu 2150 mm</v>
      </c>
      <c r="AJ103" s="1">
        <v>45</v>
      </c>
    </row>
    <row r="104" spans="5:36" ht="14.85" hidden="1" customHeight="1">
      <c r="E104" s="34"/>
      <c r="U104" t="str">
        <f>'Translate&amp;Prices&amp;Logo'!$B$56</f>
        <v>Verona złota szczotkowany - maksymalna zalecana zalecana długość profilu 2150 mm</v>
      </c>
      <c r="AJ104" s="1">
        <v>45</v>
      </c>
    </row>
    <row r="105" spans="5:36" ht="14.85" hidden="1" customHeight="1">
      <c r="E105" s="34"/>
      <c r="U105" t="str">
        <f>'Translate&amp;Prices&amp;Logo'!$B$43</f>
        <v>Vivaro (elox.) - maksymalna zalecana zalecana długość profilu 2500 mm</v>
      </c>
      <c r="AJ105" s="1">
        <v>45</v>
      </c>
    </row>
    <row r="106" spans="5:36" ht="14.85" hidden="1" customHeight="1">
      <c r="U106" t="str">
        <f>'Translate&amp;Prices&amp;Logo'!$B$44</f>
        <v>Vivaro czarny matowy - maksymalna zalecana zalecana długość profilu 2500 mm</v>
      </c>
      <c r="AJ106" s="1">
        <v>45</v>
      </c>
    </row>
    <row r="107" spans="5:36" ht="14.85" hidden="1" customHeight="1">
      <c r="U107" t="str">
        <f>'Translate&amp;Prices&amp;Logo'!$B$46</f>
        <v>Vivaro INOX LIJA - maksymalna zalecana zalecana długość profilu 2500 mm</v>
      </c>
      <c r="AJ107" s="1">
        <v>20</v>
      </c>
    </row>
    <row r="108" spans="5:36" ht="14.85" hidden="1" customHeight="1">
      <c r="U108" t="str">
        <f>'Translate&amp;Prices&amp;Logo'!$B$47</f>
        <v>Vivaro biały matowy RAL 9003 - maksymalna zalecana zalecana długość profilu 2500 mm</v>
      </c>
      <c r="AJ108" s="1">
        <v>20</v>
      </c>
    </row>
    <row r="109" spans="5:36" ht="14.85" hidden="1" customHeight="1">
      <c r="U109" t="str">
        <f>'Translate&amp;Prices&amp;Logo'!$B$48</f>
        <v>Vivaro biały połysk RAL 9003 - maksymalna zalecana zalecana długość profilu 2500 mm</v>
      </c>
      <c r="AJ109" s="1">
        <v>27</v>
      </c>
    </row>
    <row r="110" spans="5:36" ht="14.85" hidden="1" customHeight="1">
      <c r="U110" t="str">
        <f>'Translate&amp;Prices&amp;Logo'!$B$31</f>
        <v>Vivaro złota - maksymalna zalecana zalecana długość profilu 2150 mm</v>
      </c>
      <c r="AJ110" s="1">
        <v>27</v>
      </c>
    </row>
    <row r="111" spans="5:36" ht="14.85" hidden="1" customHeight="1">
      <c r="U111" t="str">
        <f>'Translate&amp;Prices&amp;Logo'!$B$57</f>
        <v>Vivaro złota szczotkowany - maksymalna zalecana zalecana długość profilu 2150 mm</v>
      </c>
      <c r="AJ111" s="1">
        <v>27</v>
      </c>
    </row>
    <row r="112" spans="5:36" ht="14.85" hidden="1" customHeight="1">
      <c r="U112" t="str">
        <f>'Translate&amp;Prices&amp;Logo'!$B$82</f>
        <v>Rocca elox (lewa i prawa) + Varna elox (góra i dół)</v>
      </c>
      <c r="AJ112" s="1">
        <v>27</v>
      </c>
    </row>
    <row r="113" spans="21:21" ht="14.85" hidden="1" customHeight="1">
      <c r="U113" t="str">
        <f>'Translate&amp;Prices&amp;Logo'!$B$83</f>
        <v>Rocca czarny (lewa i prawa) + Varna czarny (góra i dół)</v>
      </c>
    </row>
    <row r="114" spans="21:21" ht="14.85" hidden="1" customHeight="1">
      <c r="U114" t="str">
        <f>'Translate&amp;Prices&amp;Logo'!$B$73</f>
        <v>ROMA czarna matowa -  maksymalna zalecana długość profilu 2696 mm</v>
      </c>
    </row>
    <row r="115" spans="21:21" ht="14.85" hidden="1" customHeight="1">
      <c r="U115" t="str">
        <f>'Translate&amp;Prices&amp;Logo'!$B$74</f>
        <v>ROMA champagne mat - maksymalna zalecana długość profilu 2696 mm</v>
      </c>
    </row>
    <row r="116" spans="21:21" ht="14.85" hidden="1" customHeight="1">
      <c r="U116" t="str">
        <f>'Translate&amp;Prices&amp;Logo'!$B$75</f>
        <v>ROMA GRIP czarna matowa - maksymalna zalecana długość profilu 2696 mm</v>
      </c>
    </row>
    <row r="117" spans="21:21" ht="14.85" hidden="1" customHeight="1">
      <c r="U117" t="str">
        <f>'Translate&amp;Prices&amp;Logo'!$B$76</f>
        <v>ROMA GRIP champagne mat - maksymalna zalecana długość profilu 2696 mm</v>
      </c>
    </row>
  </sheetData>
  <sheetProtection algorithmName="SHA-512" hashValue="dLQJI6d1blh8+iXemstp6Ppk99Y8H6VH/D/2mNwbUEXW7FrhmQ4x3lC/EPhSF9lhTcKHUc/Bt+j773wCZM1VDw==" saltValue="hjBCTBTiW8yLmKrCJSvpcQ==" spinCount="100000" sheet="1" objects="1" scenarios="1" selectLockedCells="1"/>
  <mergeCells count="95">
    <mergeCell ref="I19:N21"/>
    <mergeCell ref="C19:G19"/>
    <mergeCell ref="S15:T15"/>
    <mergeCell ref="V15:W15"/>
    <mergeCell ref="S17:T17"/>
    <mergeCell ref="V17:W17"/>
    <mergeCell ref="C9:G9"/>
    <mergeCell ref="C11:G11"/>
    <mergeCell ref="C13:G13"/>
    <mergeCell ref="I9:N9"/>
    <mergeCell ref="S9:T9"/>
    <mergeCell ref="I11:N11"/>
    <mergeCell ref="I13:N13"/>
    <mergeCell ref="AG26:AJ26"/>
    <mergeCell ref="S37:U37"/>
    <mergeCell ref="W37:Z37"/>
    <mergeCell ref="I15:N15"/>
    <mergeCell ref="I17:N17"/>
    <mergeCell ref="C18:J18"/>
    <mergeCell ref="K18:N18"/>
    <mergeCell ref="M24:O24"/>
    <mergeCell ref="I24:K24"/>
    <mergeCell ref="AG24:AJ24"/>
    <mergeCell ref="E24:G24"/>
    <mergeCell ref="S24:AA24"/>
    <mergeCell ref="AC24:AE24"/>
    <mergeCell ref="C15:G15"/>
    <mergeCell ref="C17:G17"/>
    <mergeCell ref="Y17:Z17"/>
    <mergeCell ref="AC39:AJ39"/>
    <mergeCell ref="B32:C32"/>
    <mergeCell ref="B35:C35"/>
    <mergeCell ref="E32:G33"/>
    <mergeCell ref="I32:K33"/>
    <mergeCell ref="M32:O33"/>
    <mergeCell ref="AC34:AE34"/>
    <mergeCell ref="S39:AA47"/>
    <mergeCell ref="B26:C26"/>
    <mergeCell ref="B39:C39"/>
    <mergeCell ref="B28:C28"/>
    <mergeCell ref="B30:C30"/>
    <mergeCell ref="I30:K30"/>
    <mergeCell ref="E28:G28"/>
    <mergeCell ref="I28:K28"/>
    <mergeCell ref="E30:G30"/>
    <mergeCell ref="E39:G40"/>
    <mergeCell ref="I39:K40"/>
    <mergeCell ref="B48:C48"/>
    <mergeCell ref="AL22:AM22"/>
    <mergeCell ref="E35:G37"/>
    <mergeCell ref="I35:K37"/>
    <mergeCell ref="M35:O37"/>
    <mergeCell ref="AG34:AJ34"/>
    <mergeCell ref="S30:AA30"/>
    <mergeCell ref="AC30:AE30"/>
    <mergeCell ref="AG30:AJ30"/>
    <mergeCell ref="S32:AA32"/>
    <mergeCell ref="AC32:AE32"/>
    <mergeCell ref="AG32:AJ32"/>
    <mergeCell ref="S34:AA34"/>
    <mergeCell ref="AG28:AJ28"/>
    <mergeCell ref="E26:G26"/>
    <mergeCell ref="I26:K26"/>
    <mergeCell ref="AC28:AE28"/>
    <mergeCell ref="E48:F48"/>
    <mergeCell ref="AB9:AC9"/>
    <mergeCell ref="S26:AA26"/>
    <mergeCell ref="AC26:AE26"/>
    <mergeCell ref="S28:AA28"/>
    <mergeCell ref="AB13:AC13"/>
    <mergeCell ref="V9:W9"/>
    <mergeCell ref="Y11:Z11"/>
    <mergeCell ref="Y9:Z9"/>
    <mergeCell ref="I48:J48"/>
    <mergeCell ref="M48:N48"/>
    <mergeCell ref="M26:O26"/>
    <mergeCell ref="M30:O30"/>
    <mergeCell ref="M28:O28"/>
    <mergeCell ref="M39:O40"/>
    <mergeCell ref="AJ2:AN3"/>
    <mergeCell ref="S7:AC7"/>
    <mergeCell ref="AG22:AJ22"/>
    <mergeCell ref="AC22:AE22"/>
    <mergeCell ref="S22:AB22"/>
    <mergeCell ref="AB17:AC17"/>
    <mergeCell ref="AB15:AC15"/>
    <mergeCell ref="V11:W11"/>
    <mergeCell ref="S13:T13"/>
    <mergeCell ref="V13:W13"/>
    <mergeCell ref="S11:T11"/>
    <mergeCell ref="AB11:AC11"/>
    <mergeCell ref="Y13:Z13"/>
    <mergeCell ref="P2:AB3"/>
    <mergeCell ref="P4:AC5"/>
    <mergeCell ref="Y15:Z15"/>
  </mergeCells>
  <conditionalFormatting sqref="C19:G19">
    <cfRule type="expression" dxfId="161" priority="16">
      <formula>$I$17="Dostawa na adres"</formula>
    </cfRule>
  </conditionalFormatting>
  <conditionalFormatting sqref="H19">
    <cfRule type="expression" dxfId="159" priority="15">
      <formula>I17="Dostawa na adres"</formula>
    </cfRule>
  </conditionalFormatting>
  <conditionalFormatting sqref="K20">
    <cfRule type="expression" dxfId="157" priority="694">
      <formula>#REF!="Dostawa na adres"</formula>
    </cfRule>
  </conditionalFormatting>
  <conditionalFormatting sqref="K19:L19 I19:J21 M19:N21 K21:L21">
    <cfRule type="expression" dxfId="156" priority="14">
      <formula>I17="Dostawa na adres"</formula>
    </cfRule>
  </conditionalFormatting>
  <conditionalFormatting sqref="L20">
    <cfRule type="expression" dxfId="155" priority="693">
      <formula>K18="Dostawa na adres"</formula>
    </cfRule>
  </conditionalFormatting>
  <conditionalFormatting sqref="S37">
    <cfRule type="expression" dxfId="154" priority="9">
      <formula>I17="Dostawa na adres"</formula>
    </cfRule>
  </conditionalFormatting>
  <conditionalFormatting sqref="S39:AA47">
    <cfRule type="expression" dxfId="153" priority="695">
      <formula>$AP$37=1</formula>
    </cfRule>
  </conditionalFormatting>
  <conditionalFormatting sqref="V37">
    <cfRule type="expression" dxfId="152" priority="10">
      <formula>I17="Dostawa na adres"</formula>
    </cfRule>
  </conditionalFormatting>
  <conditionalFormatting sqref="W37">
    <cfRule type="expression" dxfId="151" priority="8">
      <formula>I17="Dostawa na adres"</formula>
    </cfRule>
  </conditionalFormatting>
  <conditionalFormatting sqref="AA37">
    <cfRule type="expression" dxfId="150" priority="7">
      <formula>I17="Dostawa na adres"</formula>
    </cfRule>
  </conditionalFormatting>
  <conditionalFormatting sqref="AC24:AE24 AC26:AE26 AC28:AE28 AC30:AE30 AC32:AE32 AC34:AE34">
    <cfRule type="cellIs" dxfId="149" priority="34" operator="equal">
      <formula>0</formula>
    </cfRule>
  </conditionalFormatting>
  <conditionalFormatting sqref="AF24 AF26 AF28 AF30 AF32 AF34">
    <cfRule type="expression" dxfId="148" priority="227">
      <formula>$AG24&gt;0</formula>
    </cfRule>
  </conditionalFormatting>
  <conditionalFormatting sqref="AK24">
    <cfRule type="cellIs" dxfId="147" priority="30" operator="equal">
      <formula>0</formula>
    </cfRule>
  </conditionalFormatting>
  <conditionalFormatting sqref="AK26">
    <cfRule type="cellIs" dxfId="146" priority="29" operator="equal">
      <formula>0</formula>
    </cfRule>
  </conditionalFormatting>
  <conditionalFormatting sqref="AK28">
    <cfRule type="cellIs" dxfId="145" priority="28" operator="equal">
      <formula>0</formula>
    </cfRule>
  </conditionalFormatting>
  <conditionalFormatting sqref="AK30">
    <cfRule type="cellIs" dxfId="144" priority="27" operator="equal">
      <formula>0</formula>
    </cfRule>
  </conditionalFormatting>
  <conditionalFormatting sqref="AK32">
    <cfRule type="cellIs" dxfId="143" priority="26" operator="equal">
      <formula>0</formula>
    </cfRule>
  </conditionalFormatting>
  <conditionalFormatting sqref="AK34">
    <cfRule type="cellIs" dxfId="142" priority="25" operator="equal">
      <formula>0</formula>
    </cfRule>
  </conditionalFormatting>
  <conditionalFormatting sqref="AK37">
    <cfRule type="cellIs" dxfId="141" priority="33" operator="equal">
      <formula>0</formula>
    </cfRule>
  </conditionalFormatting>
  <conditionalFormatting sqref="AK39">
    <cfRule type="cellIs" dxfId="140" priority="31" operator="equal">
      <formula>0</formula>
    </cfRule>
  </conditionalFormatting>
  <conditionalFormatting sqref="BT30:BV30">
    <cfRule type="cellIs" dxfId="139" priority="2" operator="greaterThan">
      <formula>0</formula>
    </cfRule>
  </conditionalFormatting>
  <dataValidations count="5">
    <dataValidation type="list" allowBlank="1" showInputMessage="1" showErrorMessage="1" sqref="I17:N17" xr:uid="{18C4EAFE-389B-434D-8BA5-73773F184DCA}">
      <formula1>"Odbiór osobisty w Demos Katowice,Dostawa na adres"</formula1>
    </dataValidation>
    <dataValidation type="list" allowBlank="1" showInputMessage="1" showErrorMessage="1" sqref="E39:G40" xr:uid="{D808DC03-8FD1-4419-B710-4AA209C27220}">
      <formula1>$E$57:$E$100</formula1>
    </dataValidation>
    <dataValidation type="list" allowBlank="1" showInputMessage="1" showErrorMessage="1" sqref="I39:K40" xr:uid="{FC3C3E72-131C-4FDA-B310-1860DBB8F40D}">
      <formula1>$I$57:$I$100</formula1>
    </dataValidation>
    <dataValidation type="list" allowBlank="1" showInputMessage="1" showErrorMessage="1" sqref="M39:O40" xr:uid="{AA226C72-F8F1-49BE-BDE7-E962F9933B0F}">
      <formula1>$M$57:$M$100</formula1>
    </dataValidation>
    <dataValidation type="list" allowBlank="1" showInputMessage="1" showErrorMessage="1" sqref="M35:O37 E35:G37 I35:K37" xr:uid="{93C841BE-1A41-4044-9BDD-ACB47CED3DEE}">
      <formula1>$U$57:$U$117</formula1>
    </dataValidation>
  </dataValidations>
  <hyperlinks>
    <hyperlink ref="AJ2:AM3" location="Hlavní!A1" display="Hlavní!A1" xr:uid="{C53FD589-BE8F-4263-A61F-D243B773045B}"/>
    <hyperlink ref="K18:N18" location="'cennik transportu PL'!A1" display="'cennik transportu PL'!A1" xr:uid="{27545E76-84F1-46ED-BA72-B24BFEBB449A}"/>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7402" r:id="rId4" name="Check Box 10">
              <controlPr defaultSize="0" autoFill="0" autoLine="0" autoPict="0">
                <anchor moveWithCells="1">
                  <from>
                    <xdr:col>17</xdr:col>
                    <xdr:colOff>333375</xdr:colOff>
                    <xdr:row>20</xdr:row>
                    <xdr:rowOff>180975</xdr:rowOff>
                  </from>
                  <to>
                    <xdr:col>19</xdr:col>
                    <xdr:colOff>0</xdr:colOff>
                    <xdr:row>22</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3B906D36-5C90-4059-98DF-A01A7F42109F}">
            <xm:f>Hlavní!V39=3</xm:f>
            <x14:dxf>
              <fill>
                <patternFill>
                  <bgColor rgb="FF004984"/>
                </patternFill>
              </fill>
            </x14:dxf>
          </x14:cfRule>
          <xm:sqref>C17:G17</xm:sqref>
        </x14:conditionalFormatting>
        <x14:conditionalFormatting xmlns:xm="http://schemas.microsoft.com/office/excel/2006/main">
          <x14:cfRule type="expression" priority="12" id="{15600A83-ECF6-4B53-9F3E-430E57CDC678}">
            <xm:f>Hlavní!V39=3</xm:f>
            <x14:dxf>
              <fill>
                <patternFill>
                  <bgColor theme="2"/>
                </patternFill>
              </fill>
            </x14:dxf>
          </x14:cfRule>
          <xm:sqref>H17</xm:sqref>
        </x14:conditionalFormatting>
        <x14:conditionalFormatting xmlns:xm="http://schemas.microsoft.com/office/excel/2006/main">
          <x14:cfRule type="expression" priority="11" id="{93B468E8-D8B2-438F-AA89-5EE34535F192}">
            <xm:f>Hlavní!V39=3</xm:f>
            <x14:dxf>
              <fill>
                <patternFill>
                  <bgColor rgb="FF009EE0"/>
                </patternFill>
              </fill>
            </x14:dxf>
          </x14:cfRule>
          <xm:sqref>I17:N17</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EDF8-FDF7-4DC6-A3E1-2D10FD0EDB8B}">
  <sheetPr codeName="List10">
    <tabColor rgb="FF00B0F0"/>
  </sheetPr>
  <dimension ref="C1:AJ105"/>
  <sheetViews>
    <sheetView workbookViewId="0"/>
  </sheetViews>
  <sheetFormatPr defaultColWidth="7.7109375" defaultRowHeight="14.85" customHeight="1"/>
  <cols>
    <col min="1" max="5" width="7.7109375" style="6" customWidth="1"/>
    <col min="6" max="6" width="14.42578125" style="6" customWidth="1"/>
    <col min="7" max="9" width="7.7109375" style="6" customWidth="1"/>
    <col min="10" max="10" width="10.5703125" style="6" customWidth="1"/>
    <col min="11" max="11" width="10.28515625" style="6" customWidth="1"/>
    <col min="12" max="12" width="7.7109375" style="6" customWidth="1"/>
    <col min="13" max="13" width="9.42578125" style="6" customWidth="1"/>
    <col min="14" max="14" width="8.5703125" style="6" bestFit="1" customWidth="1"/>
    <col min="15" max="15" width="7.7109375" style="6" customWidth="1"/>
    <col min="16" max="17" width="9.7109375" style="6" customWidth="1"/>
    <col min="18" max="18" width="18.28515625" style="6" customWidth="1"/>
    <col min="19" max="21" width="13.28515625" style="6" customWidth="1"/>
    <col min="22" max="22" width="19.7109375" style="6" customWidth="1"/>
    <col min="23" max="23" width="18.28515625" style="6" customWidth="1"/>
    <col min="24" max="24" width="17.140625" style="6" customWidth="1"/>
    <col min="25" max="26" width="10.28515625" style="6" bestFit="1" customWidth="1"/>
    <col min="27" max="27" width="13.28515625" style="6" customWidth="1"/>
    <col min="28" max="28" width="11.5703125" style="6" customWidth="1"/>
    <col min="29" max="16384" width="7.7109375" style="6"/>
  </cols>
  <sheetData>
    <row r="1" spans="20:26" ht="8.85" customHeight="1"/>
    <row r="2" spans="20:26" ht="11.85" customHeight="1"/>
    <row r="3" spans="20:26" ht="15"/>
    <row r="4" spans="20:26" ht="15"/>
    <row r="5" spans="20:26" ht="15"/>
    <row r="6" spans="20:26" ht="15"/>
    <row r="7" spans="20:26" ht="15"/>
    <row r="8" spans="20:26" ht="15"/>
    <row r="9" spans="20:26" ht="15"/>
    <row r="10" spans="20:26" ht="15"/>
    <row r="11" spans="20:26" ht="15">
      <c r="T11" s="409" t="s">
        <v>4292</v>
      </c>
      <c r="V11" s="410">
        <v>800</v>
      </c>
      <c r="W11" s="410">
        <v>1400</v>
      </c>
      <c r="Y11" s="410">
        <v>2300</v>
      </c>
      <c r="Z11" s="410">
        <v>2750</v>
      </c>
    </row>
    <row r="12" spans="20:26" ht="15"/>
    <row r="13" spans="20:26" ht="15">
      <c r="T13" s="409" t="s">
        <v>4292</v>
      </c>
      <c r="V13" s="410">
        <v>800</v>
      </c>
      <c r="W13" s="410">
        <v>800</v>
      </c>
      <c r="Y13" s="547">
        <v>750</v>
      </c>
      <c r="Z13" s="548"/>
    </row>
    <row r="14" spans="20:26" ht="16.5" customHeight="1"/>
    <row r="15" spans="20:26" ht="15"/>
    <row r="16" spans="20:26" ht="18.75" customHeight="1"/>
    <row r="17" spans="3:36" ht="15.75" thickBot="1"/>
    <row r="18" spans="3:36" ht="20.25" customHeight="1">
      <c r="T18" s="435" t="s">
        <v>4293</v>
      </c>
      <c r="U18" s="400"/>
      <c r="V18" s="400"/>
      <c r="W18" s="400"/>
      <c r="X18" s="400"/>
      <c r="Y18" s="400"/>
      <c r="Z18" s="400"/>
      <c r="AB18" s="6">
        <f>IF(Posuv!I17="Dostawa na adres",Hlavní!V39,0)</f>
        <v>0</v>
      </c>
    </row>
    <row r="19" spans="3:36" ht="14.85" customHeight="1" thickBot="1">
      <c r="T19" s="436" t="str">
        <f>J25</f>
        <v>Min</v>
      </c>
      <c r="U19" s="400"/>
      <c r="V19" s="400"/>
      <c r="W19" s="400"/>
      <c r="X19" s="400"/>
      <c r="Y19" s="400"/>
      <c r="Z19" s="400"/>
    </row>
    <row r="20" spans="3:36" s="289" customFormat="1" ht="11.45" customHeight="1">
      <c r="T20" s="409" t="s">
        <v>4294</v>
      </c>
      <c r="U20" s="410"/>
      <c r="V20" s="469">
        <v>35</v>
      </c>
      <c r="W20" s="469">
        <v>35</v>
      </c>
      <c r="X20" s="410"/>
      <c r="Y20" s="469">
        <v>288</v>
      </c>
      <c r="Z20" s="469">
        <v>332</v>
      </c>
    </row>
    <row r="21" spans="3:36" ht="14.85" customHeight="1">
      <c r="T21" s="348"/>
      <c r="U21" s="349"/>
      <c r="V21" s="349" t="s">
        <v>4295</v>
      </c>
      <c r="W21" s="349" t="s">
        <v>4296</v>
      </c>
      <c r="Y21" s="350" t="s">
        <v>4297</v>
      </c>
      <c r="Z21" s="350" t="s">
        <v>4298</v>
      </c>
    </row>
    <row r="22" spans="3:36" ht="14.85" customHeight="1">
      <c r="T22" s="353" t="s">
        <v>4300</v>
      </c>
      <c r="U22" s="437"/>
      <c r="V22" s="354">
        <v>3</v>
      </c>
      <c r="W22" s="354">
        <v>2</v>
      </c>
      <c r="Y22" s="549">
        <v>20</v>
      </c>
      <c r="Z22" s="711"/>
    </row>
    <row r="23" spans="3:36" ht="15.75" customHeight="1"/>
    <row r="24" spans="3:36" ht="14.85" customHeight="1">
      <c r="C24" s="1"/>
      <c r="D24" s="1"/>
      <c r="E24" s="1"/>
      <c r="F24" s="1"/>
      <c r="G24" s="1"/>
      <c r="H24" s="1"/>
      <c r="I24" s="12"/>
      <c r="J24" s="12"/>
      <c r="K24" s="1"/>
      <c r="L24" s="1"/>
      <c r="M24" s="1"/>
      <c r="N24" s="1"/>
      <c r="O24" s="1"/>
      <c r="P24" s="1"/>
      <c r="R24" s="503" t="s">
        <v>4350</v>
      </c>
      <c r="S24" s="1"/>
    </row>
    <row r="25" spans="3:36" ht="14.85" customHeight="1">
      <c r="I25" s="296" t="s">
        <v>4347</v>
      </c>
      <c r="J25" s="434" t="s">
        <v>4348</v>
      </c>
      <c r="K25" s="1" t="s">
        <v>4305</v>
      </c>
      <c r="L25" s="549" t="s">
        <v>4349</v>
      </c>
      <c r="M25" s="550"/>
      <c r="N25" s="550"/>
      <c r="O25" s="550"/>
      <c r="P25" s="551"/>
      <c r="Q25" s="8"/>
      <c r="R25" s="503"/>
      <c r="S25" s="1"/>
      <c r="AC25" s="12"/>
      <c r="AD25" s="12" t="s">
        <v>4305</v>
      </c>
      <c r="AE25" s="12" t="s">
        <v>4338</v>
      </c>
    </row>
    <row r="26" spans="3:36" ht="14.85" customHeight="1">
      <c r="D26" s="1"/>
      <c r="E26" s="1"/>
      <c r="F26" s="8" t="s">
        <v>3509</v>
      </c>
      <c r="G26" s="8">
        <f>Posuv!E26</f>
        <v>0</v>
      </c>
      <c r="H26" s="8">
        <f>Posuv!E28</f>
        <v>0</v>
      </c>
      <c r="I26" s="296">
        <f>MAX(G26:H26)</f>
        <v>0</v>
      </c>
      <c r="J26" s="434">
        <f>MIN(G26:H26)</f>
        <v>0</v>
      </c>
      <c r="K26" s="1">
        <f>Posuv!E30</f>
        <v>0</v>
      </c>
      <c r="L26" s="434"/>
      <c r="M26" s="8" t="str">
        <f>IF(AND(IF($J26&lt;=V$13,"balík A","ne")="balík A",IF($I26&lt;=V$11,"balík A","ne")="balík A",$V$21="balík A"),"balík A","ne")</f>
        <v>balík A</v>
      </c>
      <c r="N26" s="8" t="str">
        <f>IF(AND(IF($J26&lt;=W$13,"balík B","ne")="balík B",IF($I26&lt;=W$11,"balík B","ne")="balík B",$W$21="balík B"),"balík B","ne")</f>
        <v>balík B</v>
      </c>
      <c r="O26" s="8" t="str">
        <f>IF(AND(IF($J26&lt;=Y$13,"paleta A","ne")="paleta A",IF($I26&lt;=Y$11,"paleta A","ne")="paleta A",$Y$21="paleta A"),"paleta A","ne")</f>
        <v>paleta A</v>
      </c>
      <c r="P26" s="8" t="str">
        <f>IF(AND(IF($J26&lt;=Y$13,"paleta B","ne")="paleta B",IF($I26&lt;=Z$11,"paleta B","ne")="paleta B",$Z$21="paleta B"),"paleta B","ne")</f>
        <v>paleta B</v>
      </c>
      <c r="Q26" s="8"/>
      <c r="R26" s="1" t="str">
        <f>IF(M26&lt;&gt;"NE",M26,IF(N26&lt;&gt;"NE",N26,IF(O26&lt;&gt;"NE",O26,IF(P26&lt;&gt;"Ne",P26,"ne"))))</f>
        <v>balík A</v>
      </c>
      <c r="S26" s="8" t="str">
        <f>_xlfn.TEXTBEFORE(R26," ")</f>
        <v>balík</v>
      </c>
      <c r="T26" s="8"/>
      <c r="U26" s="8"/>
      <c r="V26" s="8">
        <f>IF($AB$18&lt;&gt;3,0,IFERROR((IF(R26=$V$21,K26,0)),0))</f>
        <v>0</v>
      </c>
      <c r="W26" s="8">
        <f>IF($AB$18&lt;&gt;3,0,IFERROR((IF(R26=$W$21,K26,0)),0))</f>
        <v>0</v>
      </c>
      <c r="X26" s="8"/>
      <c r="Y26" s="8">
        <f>IF($AB$18&lt;&gt;3,0,IFERROR((IF(R26=$Y$21,K26,0)),0))</f>
        <v>0</v>
      </c>
      <c r="Z26" s="8">
        <f>IF($AB$18&lt;&gt;3,0,IFERROR((IF(R26=$Z$21,K26,0)),0))</f>
        <v>0</v>
      </c>
      <c r="AC26" s="361" t="s">
        <v>4307</v>
      </c>
      <c r="AD26" s="12">
        <f>Posuv!E30</f>
        <v>0</v>
      </c>
      <c r="AE26" s="425">
        <f>IF(Posuv!E30&gt;0,IF(Posuv!E39&lt;&gt;"",1,2),0)</f>
        <v>0</v>
      </c>
      <c r="AG26" s="6">
        <f>IF(AD26&gt;0,1,0)</f>
        <v>0</v>
      </c>
    </row>
    <row r="27" spans="3:36" ht="14.85" customHeight="1">
      <c r="D27" s="1"/>
      <c r="E27" s="1"/>
      <c r="F27" s="8" t="s">
        <v>3510</v>
      </c>
      <c r="G27" s="8">
        <f>Posuv!I26</f>
        <v>0</v>
      </c>
      <c r="H27" s="8">
        <f>Posuv!I28</f>
        <v>0</v>
      </c>
      <c r="I27" s="296">
        <f t="shared" ref="I27:I28" si="0">MAX(G27:H27)</f>
        <v>0</v>
      </c>
      <c r="J27" s="434">
        <f t="shared" ref="J27:J28" si="1">MIN(G27:H27)</f>
        <v>0</v>
      </c>
      <c r="K27" s="1">
        <f>Posuv!I30</f>
        <v>0</v>
      </c>
      <c r="L27" s="434"/>
      <c r="M27" s="8" t="str">
        <f>IF(AND(IF($J27&lt;=V$13,"balík A","ne")="balík A",IF($I27&lt;=V$11,"balík A","ne")="balík A",$V$21="balík A"),"balík A","ne")</f>
        <v>balík A</v>
      </c>
      <c r="N27" s="8" t="str">
        <f>IF(AND(IF($J27&lt;=W$13,"balík B","ne")="balík B",IF($I27&lt;=W$11,"balík B","ne")="balík B",$W$21="balík B"),"balík B","ne")</f>
        <v>balík B</v>
      </c>
      <c r="O27" s="8" t="str">
        <f>IF(AND(IF($J27&lt;=Y$13,"paleta A","ne")="paleta A",IF($I27&lt;=Y$11,"paleta A","ne")="paleta A",$Y$21="paleta A"),"paleta A","ne")</f>
        <v>paleta A</v>
      </c>
      <c r="P27" s="8" t="str">
        <f>IF(AND(IF($J27&lt;=Y$13,"paleta B","ne")="paleta B",IF($I27&lt;=Z$11,"paleta B","ne")="paleta B",$Z$21="paleta B"),"paleta B","ne")</f>
        <v>paleta B</v>
      </c>
      <c r="Q27" s="8"/>
      <c r="R27" s="1" t="str">
        <f t="shared" ref="R27:R28" si="2">IF(M27&lt;&gt;"NE",M27,IF(N27&lt;&gt;"NE",N27,IF(O27&lt;&gt;"NE",O27,IF(P27&lt;&gt;"Ne",P27,"ne"))))</f>
        <v>balík A</v>
      </c>
      <c r="S27" s="8" t="str">
        <f>_xlfn.TEXTBEFORE(R27," ")</f>
        <v>balík</v>
      </c>
      <c r="T27" s="8"/>
      <c r="U27" s="8"/>
      <c r="V27" s="8">
        <f t="shared" ref="V27:V28" si="3">IF($AB$18&lt;&gt;3,0,IFERROR((IF(R27=$V$21,K27,0)),0))</f>
        <v>0</v>
      </c>
      <c r="W27" s="8">
        <f t="shared" ref="W27:W28" si="4">IF($AB$18&lt;&gt;3,0,IFERROR((IF(R27=$W$21,K27,0)),0))</f>
        <v>0</v>
      </c>
      <c r="X27" s="8"/>
      <c r="Y27" s="8">
        <f t="shared" ref="Y27:Y28" si="5">IF($AB$18&lt;&gt;3,0,IFERROR((IF(R27=$Y$21,K27,0)),0))</f>
        <v>0</v>
      </c>
      <c r="Z27" s="8">
        <f t="shared" ref="Z27:Z28" si="6">IF($AB$18&lt;&gt;3,0,IFERROR((IF(R27=$Z$21,K27,0)),0))</f>
        <v>0</v>
      </c>
      <c r="AC27" s="361" t="s">
        <v>4308</v>
      </c>
      <c r="AD27" s="12">
        <f>Posuv!I30</f>
        <v>0</v>
      </c>
      <c r="AE27" s="425">
        <f>IF(Posuv!I30&gt;0,IF(Posuv!I39&lt;&gt;"",1,2),0)</f>
        <v>0</v>
      </c>
      <c r="AG27" s="6">
        <f t="shared" ref="AG27:AG28" si="7">IF(AD27&gt;0,1,0)</f>
        <v>0</v>
      </c>
    </row>
    <row r="28" spans="3:36" ht="14.85" customHeight="1">
      <c r="D28" s="1"/>
      <c r="E28" s="1"/>
      <c r="F28" s="8" t="s">
        <v>3511</v>
      </c>
      <c r="G28" s="8">
        <f>Posuv!M26</f>
        <v>0</v>
      </c>
      <c r="H28" s="296">
        <f>Posuv!M28</f>
        <v>0</v>
      </c>
      <c r="I28" s="296">
        <f t="shared" si="0"/>
        <v>0</v>
      </c>
      <c r="J28" s="434">
        <f t="shared" si="1"/>
        <v>0</v>
      </c>
      <c r="K28" s="1">
        <f>Posuv!M30</f>
        <v>0</v>
      </c>
      <c r="L28" s="434"/>
      <c r="M28" s="8" t="str">
        <f>IF(AND(IF($J28&lt;=V$13,"balík A","ne")="balík A",IF($I28&lt;=V$11,"balík A","ne")="balík A",$V$21="balík A"),"balík A","ne")</f>
        <v>balík A</v>
      </c>
      <c r="N28" s="8" t="str">
        <f>IF(AND(IF($J28&lt;=W$13,"balík B","ne")="balík B",IF($I28&lt;=W$11,"balík B","ne")="balík B",$W$21="balík B"),"balík B","ne")</f>
        <v>balík B</v>
      </c>
      <c r="O28" s="8" t="str">
        <f>IF(AND(IF($J28&lt;=Y$13,"paleta A","ne")="paleta A",IF($I28&lt;=Y$11,"paleta A","ne")="paleta A",$Y$21="paleta A"),"paleta A","ne")</f>
        <v>paleta A</v>
      </c>
      <c r="P28" s="8" t="str">
        <f>IF(AND(IF($J28&lt;=Y$13,"paleta B","ne")="paleta B",IF($I28&lt;=Z$11,"paleta B","ne")="paleta B",$Z$21="paleta B"),"paleta B","ne")</f>
        <v>paleta B</v>
      </c>
      <c r="Q28" s="8"/>
      <c r="R28" s="1" t="str">
        <f t="shared" si="2"/>
        <v>balík A</v>
      </c>
      <c r="S28" s="8" t="str">
        <f>_xlfn.TEXTBEFORE(R28," ")</f>
        <v>balík</v>
      </c>
      <c r="T28" s="8"/>
      <c r="U28" s="8"/>
      <c r="V28" s="8">
        <f t="shared" si="3"/>
        <v>0</v>
      </c>
      <c r="W28" s="8">
        <f t="shared" si="4"/>
        <v>0</v>
      </c>
      <c r="X28" s="8"/>
      <c r="Y28" s="8">
        <f t="shared" si="5"/>
        <v>0</v>
      </c>
      <c r="Z28" s="8">
        <f t="shared" si="6"/>
        <v>0</v>
      </c>
      <c r="AC28" s="361" t="s">
        <v>4309</v>
      </c>
      <c r="AD28" s="12">
        <f>Posuv!M30</f>
        <v>0</v>
      </c>
      <c r="AE28" s="425">
        <f>IF(Posuv!M30&gt;0,IF(Posuv!M39&lt;&gt;"",1,2),0)</f>
        <v>0</v>
      </c>
      <c r="AG28" s="6">
        <f t="shared" si="7"/>
        <v>0</v>
      </c>
    </row>
    <row r="29" spans="3:36" ht="14.85" customHeight="1">
      <c r="D29" s="1"/>
      <c r="E29" s="1"/>
      <c r="F29" s="394"/>
      <c r="G29" s="1"/>
      <c r="H29" s="1"/>
      <c r="I29" s="12"/>
      <c r="J29" s="12" t="str">
        <f>IF(AH29=1,IF(R29="ne",1,""),"")</f>
        <v/>
      </c>
      <c r="K29" s="1">
        <f>SUM(K26:K28)</f>
        <v>0</v>
      </c>
      <c r="L29" s="1"/>
      <c r="M29" s="1"/>
      <c r="N29" s="1"/>
      <c r="O29" s="1"/>
      <c r="P29" s="1"/>
      <c r="R29" s="1" t="str">
        <f>IFERROR((VLOOKUP("ne",R26:R28,1,0)),"ano")</f>
        <v>ano</v>
      </c>
      <c r="S29" s="1" t="str">
        <f>IF(SUM(K26:K28)&lt;21,IF(OR(S26="paleta",S27="paleta",S28="paleta"),"paleta",""),"")</f>
        <v/>
      </c>
      <c r="T29" s="1"/>
      <c r="U29" s="1"/>
      <c r="V29" s="1">
        <f>SUM(V26:W28)</f>
        <v>0</v>
      </c>
      <c r="W29" s="1"/>
      <c r="Y29" s="1">
        <f>SUM(X26:Z28)</f>
        <v>0</v>
      </c>
      <c r="AE29" s="6">
        <f>SUM(AE26:AE28)</f>
        <v>0</v>
      </c>
      <c r="AG29" s="6">
        <f>SUM(AG26:AG28)</f>
        <v>0</v>
      </c>
      <c r="AH29" s="438">
        <f>IF(AE29=AG29,1,IF(AG29=(AE29/2),2,0))</f>
        <v>1</v>
      </c>
      <c r="AI29" s="438">
        <v>0</v>
      </c>
      <c r="AJ29" s="6" t="s">
        <v>4341</v>
      </c>
    </row>
    <row r="30" spans="3:36" ht="15">
      <c r="D30" s="1"/>
      <c r="E30" s="1"/>
      <c r="F30" s="394"/>
      <c r="G30" s="1"/>
      <c r="H30" s="1"/>
      <c r="I30" s="12"/>
      <c r="J30" s="12"/>
      <c r="K30" s="1"/>
      <c r="L30" s="1"/>
      <c r="M30" s="1"/>
      <c r="N30" s="1"/>
      <c r="O30" s="1"/>
      <c r="P30" s="1"/>
      <c r="Q30" s="1"/>
      <c r="R30" s="1"/>
      <c r="S30" s="1"/>
      <c r="T30" s="1"/>
      <c r="U30" s="1"/>
      <c r="V30" s="1"/>
      <c r="W30" s="1"/>
      <c r="X30" s="419"/>
      <c r="Y30" s="419"/>
      <c r="Z30" s="419"/>
      <c r="AI30" s="438">
        <v>1</v>
      </c>
      <c r="AJ30" s="6" t="s">
        <v>4339</v>
      </c>
    </row>
    <row r="31" spans="3:36" ht="14.85" customHeight="1">
      <c r="C31" s="1"/>
      <c r="D31" s="1"/>
      <c r="E31" s="1"/>
      <c r="F31" s="1"/>
      <c r="G31" s="1"/>
      <c r="H31" s="1"/>
      <c r="I31" s="12"/>
      <c r="J31" s="12"/>
      <c r="K31" s="1"/>
      <c r="L31" s="1"/>
      <c r="M31" s="1"/>
      <c r="N31" s="1"/>
      <c r="O31" s="1"/>
      <c r="P31" s="1"/>
      <c r="Q31" s="1"/>
      <c r="R31" s="1"/>
      <c r="S31" s="714" t="s">
        <v>4355</v>
      </c>
      <c r="T31" s="1">
        <v>31</v>
      </c>
      <c r="U31" s="1"/>
      <c r="V31" s="1">
        <f t="shared" ref="V31" si="8">SUM(V26:V28)</f>
        <v>0</v>
      </c>
      <c r="W31" s="1">
        <f>SUM(W26:W28)</f>
        <v>0</v>
      </c>
      <c r="X31" s="1"/>
      <c r="AA31" s="6" t="s">
        <v>4353</v>
      </c>
      <c r="AI31" s="438">
        <v>2</v>
      </c>
      <c r="AJ31" s="6" t="s">
        <v>4340</v>
      </c>
    </row>
    <row r="32" spans="3:36" ht="14.85" customHeight="1">
      <c r="C32" s="1"/>
      <c r="D32" s="1"/>
      <c r="E32" s="1"/>
      <c r="F32" s="1"/>
      <c r="G32" s="1"/>
      <c r="H32" s="1"/>
      <c r="I32" s="12"/>
      <c r="J32" s="12"/>
      <c r="K32" s="1"/>
      <c r="L32" s="1"/>
      <c r="M32" s="1"/>
      <c r="N32" s="1"/>
      <c r="O32" s="1"/>
      <c r="P32" s="1"/>
      <c r="Q32" s="1"/>
      <c r="R32" s="1"/>
      <c r="S32" s="714"/>
      <c r="T32" s="1">
        <v>32</v>
      </c>
      <c r="U32" s="1"/>
      <c r="V32" s="1">
        <f>CEILING(IF(V$31=0,0,IF(V$31&lt;3,1,V$31/V$22)),1)</f>
        <v>0</v>
      </c>
      <c r="W32" s="1">
        <f t="shared" ref="W32" si="9">FLOOR(IF(W$31=0,0,IF(W$31&lt;3,1,W$31/W$22)),1)</f>
        <v>0</v>
      </c>
      <c r="X32" s="1"/>
      <c r="AA32" s="6" t="s">
        <v>4351</v>
      </c>
    </row>
    <row r="33" spans="3:29" ht="14.85" customHeight="1">
      <c r="C33" s="1"/>
      <c r="D33" s="1"/>
      <c r="E33" s="1"/>
      <c r="G33" s="1"/>
      <c r="H33" s="1"/>
      <c r="I33" s="12"/>
      <c r="J33" s="1"/>
      <c r="K33" s="1"/>
      <c r="L33" s="1"/>
      <c r="M33" s="1"/>
      <c r="N33" s="1"/>
      <c r="O33" s="1"/>
      <c r="P33" s="1"/>
      <c r="Q33" s="1"/>
      <c r="R33" s="1"/>
      <c r="S33" s="714"/>
      <c r="T33" s="1">
        <v>33</v>
      </c>
      <c r="U33" s="1"/>
      <c r="V33" s="1"/>
      <c r="W33" s="1">
        <f>IF(W32=0,0,IF(W31=1,1,W31-(W32*W22)))</f>
        <v>0</v>
      </c>
      <c r="X33" s="1"/>
      <c r="AA33" s="6" t="s">
        <v>4352</v>
      </c>
    </row>
    <row r="34" spans="3:29" ht="14.85" customHeight="1">
      <c r="C34" s="1"/>
      <c r="D34" s="1"/>
      <c r="E34" s="1"/>
      <c r="F34" s="1"/>
      <c r="G34" s="1"/>
      <c r="H34" s="1"/>
      <c r="I34" s="12"/>
      <c r="J34" s="12"/>
      <c r="K34" s="1"/>
      <c r="L34" s="1"/>
      <c r="M34" s="1"/>
      <c r="N34" s="1"/>
      <c r="O34" s="1"/>
      <c r="P34" s="1"/>
      <c r="Q34" s="1"/>
      <c r="R34" s="1"/>
      <c r="S34" s="714"/>
      <c r="T34" s="1">
        <v>34</v>
      </c>
      <c r="V34" s="6">
        <f>IF(V31&gt;0,IF(W33=0,V31,IF(W33=V31,0,IF(W33&gt;V31,W33-V31,V31-W33))),0)</f>
        <v>0</v>
      </c>
      <c r="W34" s="6">
        <f>IF(W31=0,0,W31+W33)</f>
        <v>0</v>
      </c>
      <c r="X34" s="1"/>
      <c r="AA34" s="6" t="s">
        <v>4333</v>
      </c>
    </row>
    <row r="35" spans="3:29" ht="14.85" customHeight="1">
      <c r="C35" s="1"/>
      <c r="D35" s="1"/>
      <c r="E35" s="1"/>
      <c r="F35" s="1"/>
      <c r="G35" s="1"/>
      <c r="H35" s="1"/>
      <c r="I35" s="12"/>
      <c r="J35" s="12"/>
      <c r="K35" s="1"/>
      <c r="L35" s="1"/>
      <c r="M35" s="1"/>
      <c r="N35" s="1"/>
      <c r="O35" s="1"/>
      <c r="P35" s="1"/>
      <c r="Q35" s="1"/>
      <c r="R35" s="1"/>
      <c r="S35" s="714"/>
      <c r="T35" s="1">
        <v>35</v>
      </c>
      <c r="U35" s="1"/>
      <c r="V35" s="1">
        <f>IF(V31&gt;0,CEILING(V34/V22,1),0)</f>
        <v>0</v>
      </c>
      <c r="W35" s="1">
        <f>CEILING(W34/W22,1)</f>
        <v>0</v>
      </c>
      <c r="X35" s="1"/>
      <c r="AA35" s="6" t="s">
        <v>4382</v>
      </c>
    </row>
    <row r="36" spans="3:29" ht="28.9" customHeight="1">
      <c r="C36" s="1"/>
      <c r="D36" s="1"/>
      <c r="E36" s="1"/>
      <c r="F36" s="1"/>
      <c r="G36" s="1"/>
      <c r="H36" s="1"/>
      <c r="I36" s="12"/>
      <c r="J36" s="12"/>
      <c r="K36" s="1"/>
      <c r="L36" s="1"/>
      <c r="M36" s="1"/>
      <c r="N36" s="1"/>
      <c r="O36" s="1"/>
      <c r="P36" s="1"/>
      <c r="Q36" s="1"/>
      <c r="R36" s="1"/>
      <c r="S36" s="714"/>
      <c r="T36" s="1">
        <v>36</v>
      </c>
      <c r="U36" s="1"/>
      <c r="V36" s="1"/>
      <c r="W36" s="1"/>
      <c r="X36" s="1"/>
    </row>
    <row r="37" spans="3:29" ht="14.85" customHeight="1" thickBot="1">
      <c r="C37" s="1"/>
      <c r="D37" s="1"/>
      <c r="E37" s="1"/>
      <c r="F37" s="1"/>
      <c r="G37" s="1"/>
      <c r="H37" s="1"/>
      <c r="I37" s="12"/>
      <c r="J37" s="12"/>
      <c r="K37" s="1"/>
      <c r="L37" s="1"/>
      <c r="M37" s="1"/>
      <c r="N37" s="1"/>
      <c r="O37" s="1"/>
      <c r="P37" s="1"/>
      <c r="Q37" s="1"/>
      <c r="R37" s="1"/>
      <c r="S37" s="714"/>
      <c r="T37" s="1">
        <v>37</v>
      </c>
      <c r="U37" s="439"/>
      <c r="V37" s="457">
        <f>IF(V31=0,0,V35*V20)</f>
        <v>0</v>
      </c>
      <c r="W37" s="457">
        <f>IF(W31=0,0,W35*W20)</f>
        <v>0</v>
      </c>
      <c r="X37" s="440"/>
      <c r="Y37" s="442"/>
      <c r="Z37" s="458">
        <f>V37+W37</f>
        <v>0</v>
      </c>
      <c r="AA37" s="443" t="s">
        <v>4358</v>
      </c>
      <c r="AB37" s="443"/>
    </row>
    <row r="38" spans="3:29" ht="14.85" customHeight="1">
      <c r="C38" s="1"/>
      <c r="D38" s="1"/>
      <c r="E38" s="1"/>
      <c r="F38" s="1"/>
      <c r="G38" s="1"/>
      <c r="H38" s="1"/>
      <c r="I38" s="12"/>
      <c r="J38" s="12"/>
      <c r="K38" s="1"/>
      <c r="L38" s="1"/>
      <c r="M38" s="1"/>
      <c r="N38" s="1"/>
      <c r="O38" s="1"/>
      <c r="P38" s="1"/>
      <c r="Q38" s="1"/>
      <c r="R38" s="1"/>
      <c r="S38" s="713" t="s">
        <v>4354</v>
      </c>
      <c r="T38" s="1" t="s">
        <v>4320</v>
      </c>
      <c r="U38" s="1"/>
      <c r="W38" s="1"/>
      <c r="X38" s="1"/>
      <c r="AA38" s="6" t="s">
        <v>4354</v>
      </c>
      <c r="AC38" s="6">
        <v>38</v>
      </c>
    </row>
    <row r="39" spans="3:29" ht="14.85" customHeight="1">
      <c r="C39" s="1"/>
      <c r="D39" s="1"/>
      <c r="E39" s="1"/>
      <c r="F39" s="1"/>
      <c r="G39" s="1"/>
      <c r="H39" s="1"/>
      <c r="I39" s="12"/>
      <c r="J39" s="12"/>
      <c r="K39" s="1"/>
      <c r="L39" s="1"/>
      <c r="M39" s="1"/>
      <c r="N39" s="1"/>
      <c r="O39" s="1"/>
      <c r="P39" s="1"/>
      <c r="Q39" s="1"/>
      <c r="R39" s="1"/>
      <c r="S39" s="713"/>
      <c r="T39" s="1" t="s">
        <v>4361</v>
      </c>
      <c r="U39" s="1"/>
      <c r="V39" s="1"/>
      <c r="W39" s="1"/>
      <c r="Y39" s="6">
        <f t="shared" ref="Y39" si="10">SUM(Y26:Y28)</f>
        <v>0</v>
      </c>
      <c r="Z39" s="6">
        <f>SUM(Z26:Z28)</f>
        <v>0</v>
      </c>
      <c r="AA39" s="6" t="s">
        <v>4353</v>
      </c>
      <c r="AC39" s="6">
        <v>39</v>
      </c>
    </row>
    <row r="40" spans="3:29" ht="15">
      <c r="S40" s="713"/>
      <c r="T40" s="6">
        <v>40</v>
      </c>
      <c r="Z40" s="6">
        <f>IF(Z39=0,0,$Y$22-Z39)</f>
        <v>0</v>
      </c>
      <c r="AA40" s="6" t="s">
        <v>4320</v>
      </c>
      <c r="AC40" s="6">
        <v>40</v>
      </c>
    </row>
    <row r="41" spans="3:29" ht="15.75" hidden="1" customHeight="1">
      <c r="S41" s="713"/>
    </row>
    <row r="42" spans="3:29" ht="15.75" hidden="1" customHeight="1">
      <c r="S42" s="713"/>
    </row>
    <row r="43" spans="3:29" ht="15.75" hidden="1" customHeight="1">
      <c r="S43" s="713"/>
    </row>
    <row r="44" spans="3:29" ht="15.75" hidden="1" customHeight="1">
      <c r="S44" s="713"/>
    </row>
    <row r="45" spans="3:29" ht="15.75" hidden="1" customHeight="1">
      <c r="S45" s="713"/>
    </row>
    <row r="46" spans="3:29" ht="15.75" customHeight="1">
      <c r="S46" s="713"/>
      <c r="U46" s="470"/>
      <c r="V46" s="470"/>
      <c r="Y46" s="1">
        <f>IF(Z39=0,Y39,IF(Z40&gt;=Y39,0,Y39-Z40))</f>
        <v>0</v>
      </c>
      <c r="Z46" s="1">
        <f>IF(Z40&gt;=Y39,Y39+Z39,Z40+Z39)</f>
        <v>0</v>
      </c>
      <c r="AA46" s="6" t="s">
        <v>4333</v>
      </c>
      <c r="AC46" s="6">
        <v>46</v>
      </c>
    </row>
    <row r="47" spans="3:29" ht="14.85" customHeight="1">
      <c r="S47" s="713"/>
    </row>
    <row r="48" spans="3:29" ht="14.85" customHeight="1">
      <c r="S48" s="713"/>
      <c r="Z48" s="1"/>
    </row>
    <row r="49" spans="19:29" ht="14.85" customHeight="1">
      <c r="S49" s="713"/>
      <c r="X49" s="1"/>
      <c r="Y49" s="1"/>
    </row>
    <row r="50" spans="19:29" ht="14.85" customHeight="1">
      <c r="S50" s="713"/>
    </row>
    <row r="51" spans="19:29" ht="14.85" customHeight="1">
      <c r="S51" s="713"/>
      <c r="Y51" s="1"/>
    </row>
    <row r="52" spans="19:29" ht="14.85" customHeight="1">
      <c r="S52" s="713"/>
    </row>
    <row r="53" spans="19:29" ht="14.85" customHeight="1" thickBot="1">
      <c r="S53" s="713"/>
      <c r="Y53" s="442"/>
      <c r="Z53" s="442"/>
    </row>
    <row r="54" spans="19:29" ht="14.85" customHeight="1">
      <c r="S54" s="713"/>
      <c r="Y54" s="6">
        <f>IF(Y46&gt;0,Y20,0)</f>
        <v>0</v>
      </c>
      <c r="Z54" s="6">
        <f>IF(Z46&gt;0,Z20,0)</f>
        <v>0</v>
      </c>
      <c r="AC54" s="6">
        <v>54</v>
      </c>
    </row>
    <row r="55" spans="19:29" ht="14.85" customHeight="1" thickBot="1">
      <c r="S55" s="713"/>
      <c r="U55" s="442"/>
      <c r="V55" s="442"/>
      <c r="W55" s="442"/>
      <c r="X55" s="442"/>
      <c r="Y55" s="442"/>
      <c r="Z55" s="444">
        <f>SUM(Y54:Z54)</f>
        <v>0</v>
      </c>
      <c r="AA55" s="443" t="s">
        <v>4356</v>
      </c>
      <c r="AB55" s="443"/>
      <c r="AC55" s="6">
        <v>55</v>
      </c>
    </row>
    <row r="56" spans="19:29" ht="14.85" customHeight="1">
      <c r="S56" s="712" t="s">
        <v>4357</v>
      </c>
      <c r="V56" s="6">
        <f>V29</f>
        <v>0</v>
      </c>
      <c r="Z56" s="6">
        <f>Y29</f>
        <v>0</v>
      </c>
      <c r="AA56" s="6" t="s">
        <v>4353</v>
      </c>
      <c r="AB56" s="112"/>
      <c r="AC56" s="6">
        <v>56</v>
      </c>
    </row>
    <row r="57" spans="19:29" ht="14.85" customHeight="1">
      <c r="S57" s="712"/>
      <c r="Z57" s="6">
        <f>IF(Z55&gt;0,Y22-Z56,0)</f>
        <v>0</v>
      </c>
      <c r="AA57" s="6" t="s">
        <v>4320</v>
      </c>
      <c r="AC57" s="6">
        <v>57</v>
      </c>
    </row>
    <row r="58" spans="19:29" ht="14.85" customHeight="1">
      <c r="S58" s="712"/>
      <c r="V58" s="6">
        <f>IF(Z56=0,V56,IF(Z57&gt;=V56,0,V56-Z57))</f>
        <v>0</v>
      </c>
      <c r="Z58" s="6">
        <f>IF(Z57&gt;=V56,V56+Z56,Z57+Z56)</f>
        <v>0</v>
      </c>
      <c r="AA58" s="6" t="s">
        <v>4333</v>
      </c>
      <c r="AC58" s="6">
        <v>58</v>
      </c>
    </row>
    <row r="59" spans="19:29" ht="14.85" customHeight="1">
      <c r="S59" s="712"/>
      <c r="V59" s="438">
        <f>IF(V58&gt;0,Z37,0)</f>
        <v>0</v>
      </c>
      <c r="Z59" s="6">
        <f>IF(Z56&gt;0,Z55,0)</f>
        <v>0</v>
      </c>
    </row>
    <row r="60" spans="19:29" ht="14.85" customHeight="1" thickBot="1">
      <c r="S60" s="712"/>
      <c r="U60" s="442"/>
      <c r="V60" s="442"/>
      <c r="W60" s="442"/>
      <c r="X60" s="442"/>
      <c r="Y60" s="442"/>
      <c r="Z60" s="441">
        <f>MAX(Z59,V59)</f>
        <v>0</v>
      </c>
      <c r="AA60" s="443" t="s">
        <v>4359</v>
      </c>
      <c r="AB60" s="443"/>
      <c r="AC60" s="443"/>
    </row>
    <row r="61" spans="19:29" ht="14.85" customHeight="1">
      <c r="S61" s="445"/>
    </row>
    <row r="62" spans="19:29" ht="14.85" customHeight="1">
      <c r="S62" s="445"/>
      <c r="Z62" s="438" t="str">
        <f>IF(K29&gt;20,'kalkulace dopravy'!X3,IF(J29&lt;&gt;1,IF(AND(V29&gt;0,Y29=0),Z37,IF(AND(V29&gt;0,Y29&gt;0),Z60,IF(AND(V29=0,Y29&gt;0),Z55,""))),'kalkulace dopravy'!X4))</f>
        <v/>
      </c>
      <c r="AA62" s="443" t="s">
        <v>4360</v>
      </c>
      <c r="AB62" s="443"/>
    </row>
    <row r="63" spans="19:29" ht="14.85" customHeight="1">
      <c r="S63" s="445"/>
    </row>
    <row r="64" spans="19:29" ht="14.85" customHeight="1">
      <c r="S64" s="445"/>
    </row>
    <row r="65" spans="6:26" ht="14.85" customHeight="1">
      <c r="S65" s="445"/>
    </row>
    <row r="66" spans="6:26" ht="14.85" customHeight="1" thickBot="1"/>
    <row r="67" spans="6:26" ht="27" customHeight="1" thickBot="1">
      <c r="R67" s="449"/>
      <c r="S67" s="311"/>
      <c r="T67" s="311"/>
      <c r="U67" s="422" t="s">
        <v>3541</v>
      </c>
      <c r="V67" s="423"/>
      <c r="W67" s="424"/>
    </row>
    <row r="68" spans="6:26" ht="14.85" customHeight="1">
      <c r="R68" s="450"/>
      <c r="S68" s="420"/>
      <c r="T68" s="420"/>
      <c r="U68" s="334" t="s">
        <v>3542</v>
      </c>
      <c r="V68" s="460" t="s">
        <v>4375</v>
      </c>
      <c r="W68" s="335" t="s">
        <v>4376</v>
      </c>
    </row>
    <row r="69" spans="6:26" ht="14.85" customHeight="1">
      <c r="R69" s="10"/>
      <c r="S69" s="420"/>
      <c r="T69" s="420"/>
      <c r="U69" s="332" t="s">
        <v>3556</v>
      </c>
      <c r="V69" s="329" t="s">
        <v>4374</v>
      </c>
      <c r="W69" s="336" t="s">
        <v>4380</v>
      </c>
    </row>
    <row r="70" spans="6:26" ht="14.85" customHeight="1" thickBot="1">
      <c r="R70" s="10"/>
      <c r="S70"/>
      <c r="T70"/>
      <c r="U70" s="315" t="s">
        <v>4290</v>
      </c>
      <c r="V70" s="418" t="s">
        <v>4329</v>
      </c>
      <c r="W70" s="333" t="s">
        <v>4330</v>
      </c>
    </row>
    <row r="74" spans="6:26" ht="14.85" customHeight="1">
      <c r="S74" s="337"/>
      <c r="T74" s="337"/>
      <c r="U74" s="337"/>
      <c r="V74" s="426">
        <v>1400</v>
      </c>
      <c r="W74" s="426">
        <v>2850</v>
      </c>
    </row>
    <row r="75" spans="6:26" ht="14.85" customHeight="1">
      <c r="S75" s="337"/>
      <c r="T75" s="337"/>
      <c r="U75" s="397"/>
      <c r="V75" s="426">
        <v>0</v>
      </c>
      <c r="W75" s="426">
        <v>1401</v>
      </c>
    </row>
    <row r="76" spans="6:26" ht="14.85" customHeight="1">
      <c r="S76" s="337"/>
      <c r="T76" s="337"/>
      <c r="U76" s="471" t="s">
        <v>4294</v>
      </c>
      <c r="V76" s="427">
        <v>35</v>
      </c>
      <c r="W76" s="427">
        <v>71</v>
      </c>
    </row>
    <row r="77" spans="6:26" ht="14.85" customHeight="1">
      <c r="P77" s="6" t="str">
        <f>IF(O77&gt;0,"přebývá!","")</f>
        <v/>
      </c>
      <c r="S77" s="337"/>
      <c r="T77" s="337"/>
      <c r="U77" s="397"/>
      <c r="V77" s="428" t="s">
        <v>4325</v>
      </c>
      <c r="W77" s="428" t="s">
        <v>4326</v>
      </c>
    </row>
    <row r="78" spans="6:26" ht="14.85" customHeight="1">
      <c r="M78" s="6" t="s">
        <v>4304</v>
      </c>
      <c r="U78" s="471" t="s">
        <v>4300</v>
      </c>
      <c r="V78" s="6">
        <v>12</v>
      </c>
      <c r="W78" s="6">
        <v>6</v>
      </c>
      <c r="Z78" s="6">
        <v>78</v>
      </c>
    </row>
    <row r="79" spans="6:26" ht="14.85" customHeight="1">
      <c r="F79" s="6" t="s">
        <v>4301</v>
      </c>
      <c r="L79" s="6" t="s">
        <v>4331</v>
      </c>
      <c r="O79" s="6" t="s">
        <v>4305</v>
      </c>
      <c r="P79" s="6" t="s">
        <v>4306</v>
      </c>
      <c r="Q79" s="6" t="s">
        <v>4306</v>
      </c>
      <c r="U79" s="471" t="s">
        <v>4334</v>
      </c>
      <c r="V79" s="6">
        <f>CEILING(SUM(V80:V82)/V78,1)</f>
        <v>0</v>
      </c>
      <c r="W79" s="6">
        <f>CEILING(SUM(W80:W82)/W78,1)</f>
        <v>0</v>
      </c>
      <c r="Z79" s="6">
        <v>79</v>
      </c>
    </row>
    <row r="80" spans="6:26" ht="14.85" customHeight="1">
      <c r="F80" s="6" t="s">
        <v>4307</v>
      </c>
      <c r="G80" s="6" t="str">
        <f>IF(AND($L$80&gt;V$75,$L$80&lt;=V$74),"tubus A","ne")</f>
        <v>ne</v>
      </c>
      <c r="H80" s="6" t="str">
        <f>IF(AND(L80&gt;=W$75,$L$80&lt;=W$74),"tubus B","ne")</f>
        <v>ne</v>
      </c>
      <c r="L80" s="6">
        <f>MAX(P80:Q80)</f>
        <v>0</v>
      </c>
      <c r="M80" s="6" t="str">
        <f>IF(H80&lt;&gt;"ne",H80,IF(G80&lt;&gt;"ne",G80,"ne"))</f>
        <v>ne</v>
      </c>
      <c r="N80" s="6" t="e">
        <f>_xlfn.TEXTBEFORE(M80," ")</f>
        <v>#N/A</v>
      </c>
      <c r="O80" s="6">
        <f>Posuv!E30</f>
        <v>0</v>
      </c>
      <c r="P80" s="6">
        <f>Posuv!E26</f>
        <v>0</v>
      </c>
      <c r="Q80" s="6">
        <f>Posuv!E28</f>
        <v>0</v>
      </c>
      <c r="R80" s="6" t="s">
        <v>4307</v>
      </c>
      <c r="V80" s="434">
        <f>IF($AB$18&lt;&gt;3,0,IFERROR((IF($M$80=V$77,$O$80,0)),0))</f>
        <v>0</v>
      </c>
      <c r="W80" s="434">
        <f t="shared" ref="W80" si="11">IF($AB$18&lt;&gt;3,0,IFERROR((IF($M$80=W$77,$O$80,0)),0))</f>
        <v>0</v>
      </c>
      <c r="X80" s="6" t="s">
        <v>4307</v>
      </c>
      <c r="Z80" s="6">
        <v>80</v>
      </c>
    </row>
    <row r="81" spans="6:26" ht="14.85" customHeight="1">
      <c r="F81" s="6" t="s">
        <v>4308</v>
      </c>
      <c r="G81" s="6" t="str">
        <f t="shared" ref="G81:G82" si="12">IF(AND($L$80&gt;V$75,$L$80&lt;=V$74),"tubus A","ne")</f>
        <v>ne</v>
      </c>
      <c r="H81" s="6" t="str">
        <f>IF(AND(L81&gt;=W$75,$L$80&lt;=W$74),"tubus B","ne")</f>
        <v>ne</v>
      </c>
      <c r="L81" s="6">
        <f>MAX(P81:Q81)</f>
        <v>0</v>
      </c>
      <c r="M81" s="6" t="str">
        <f>IF(H81&lt;&gt;"ne",H81,IF(G81&lt;&gt;"ne",G81,"ne"))</f>
        <v>ne</v>
      </c>
      <c r="N81" s="6" t="e">
        <f t="shared" ref="N81:N82" si="13">_xlfn.TEXTBEFORE(M81," ")</f>
        <v>#N/A</v>
      </c>
      <c r="O81" s="6">
        <f>Posuv!I30</f>
        <v>0</v>
      </c>
      <c r="P81" s="6">
        <f>Posuv!I26</f>
        <v>0</v>
      </c>
      <c r="Q81" s="6">
        <f>Posuv!I28</f>
        <v>0</v>
      </c>
      <c r="R81" s="6" t="s">
        <v>4308</v>
      </c>
      <c r="V81" s="434">
        <f t="shared" ref="V81:W81" si="14">IF($AB$18&lt;&gt;3,0,IFERROR((IF($M$81=V$77,$O$81,0)),0))</f>
        <v>0</v>
      </c>
      <c r="W81" s="434">
        <f t="shared" si="14"/>
        <v>0</v>
      </c>
      <c r="X81" s="6" t="s">
        <v>4308</v>
      </c>
      <c r="Z81" s="6">
        <v>81</v>
      </c>
    </row>
    <row r="82" spans="6:26" ht="14.85" customHeight="1">
      <c r="F82" s="6" t="s">
        <v>4309</v>
      </c>
      <c r="G82" s="6" t="str">
        <f t="shared" si="12"/>
        <v>ne</v>
      </c>
      <c r="H82" s="6" t="str">
        <f>IF(AND(L82&gt;=W$75,$L$80&lt;=W$74),"tubus B","ne")</f>
        <v>ne</v>
      </c>
      <c r="L82" s="6">
        <f t="shared" ref="L82" si="15">MAX(P82:Q82)</f>
        <v>0</v>
      </c>
      <c r="M82" s="6" t="str">
        <f>IF(H82&lt;&gt;"ne",H82,IF(G82&lt;&gt;"ne",G82,"ne"))</f>
        <v>ne</v>
      </c>
      <c r="N82" s="6" t="e">
        <f t="shared" si="13"/>
        <v>#N/A</v>
      </c>
      <c r="O82" s="6">
        <f>Posuv!M30</f>
        <v>0</v>
      </c>
      <c r="P82" s="6">
        <f>Posuv!M26</f>
        <v>0</v>
      </c>
      <c r="Q82" s="6">
        <f>Posuv!M28</f>
        <v>0</v>
      </c>
      <c r="R82" s="6" t="s">
        <v>4309</v>
      </c>
      <c r="V82" s="434">
        <f t="shared" ref="V82:W82" si="16">IF($AB$18&lt;&gt;3,0,IFERROR((IF($M$82=V$77,$O$82,0)),0))</f>
        <v>0</v>
      </c>
      <c r="W82" s="434">
        <f t="shared" si="16"/>
        <v>0</v>
      </c>
      <c r="X82" s="6" t="s">
        <v>4309</v>
      </c>
      <c r="Z82" s="6">
        <v>82</v>
      </c>
    </row>
    <row r="83" spans="6:26" ht="14.85" customHeight="1">
      <c r="O83" s="6">
        <f>SUM(O80:O82)</f>
        <v>0</v>
      </c>
      <c r="V83" s="6">
        <f>SUM(V80:V82)</f>
        <v>0</v>
      </c>
      <c r="W83" s="6">
        <f>SUM(W80:W82)</f>
        <v>0</v>
      </c>
      <c r="X83" s="1" t="s">
        <v>4332</v>
      </c>
      <c r="Z83" s="6">
        <v>83</v>
      </c>
    </row>
    <row r="84" spans="6:26" ht="14.85" customHeight="1">
      <c r="W84" s="6">
        <f>IF(W79&gt;0,(W78*W79-W83),0)</f>
        <v>0</v>
      </c>
      <c r="X84" s="1" t="s">
        <v>4320</v>
      </c>
      <c r="Z84" s="6">
        <v>84</v>
      </c>
    </row>
    <row r="85" spans="6:26" ht="14.85" customHeight="1">
      <c r="V85" s="6">
        <f>IF(W84=0,V83,IF(W84&gt;=V83,0,V83-W84))</f>
        <v>0</v>
      </c>
      <c r="W85" s="6">
        <f>IF(W84&gt;V83,V83+W83,W84+W83)</f>
        <v>0</v>
      </c>
      <c r="X85" s="1" t="s">
        <v>4333</v>
      </c>
      <c r="Z85" s="6">
        <v>85</v>
      </c>
    </row>
    <row r="86" spans="6:26" ht="14.85" customHeight="1">
      <c r="V86" s="6">
        <f>CEILING(V85/V78,1)</f>
        <v>0</v>
      </c>
      <c r="W86" s="6">
        <f>CEILING(W85/W78,1)</f>
        <v>0</v>
      </c>
      <c r="X86" s="1" t="s">
        <v>4335</v>
      </c>
      <c r="Z86" s="6">
        <v>86</v>
      </c>
    </row>
    <row r="87" spans="6:26" ht="14.85" customHeight="1">
      <c r="V87" s="6">
        <f>V86*V76</f>
        <v>0</v>
      </c>
      <c r="W87" s="6">
        <f>W86*W76</f>
        <v>0</v>
      </c>
      <c r="X87" s="1" t="s">
        <v>3556</v>
      </c>
      <c r="Z87" s="6">
        <v>87</v>
      </c>
    </row>
    <row r="88" spans="6:26" ht="14.85" customHeight="1">
      <c r="Z88" s="6">
        <v>88</v>
      </c>
    </row>
    <row r="89" spans="6:26" ht="14.85" customHeight="1">
      <c r="W89" s="6">
        <f>SUM(V87:W87)</f>
        <v>0</v>
      </c>
      <c r="X89" s="6" t="s">
        <v>4336</v>
      </c>
    </row>
    <row r="93" spans="6:26" ht="14.85" customHeight="1">
      <c r="J93" s="112"/>
      <c r="K93" s="112"/>
      <c r="L93" s="112"/>
      <c r="M93" s="112"/>
      <c r="N93" s="112"/>
      <c r="O93" s="112"/>
      <c r="P93" s="112"/>
      <c r="Q93" s="112"/>
    </row>
    <row r="94" spans="6:26" ht="14.85" customHeight="1">
      <c r="J94" s="112"/>
      <c r="K94" s="112"/>
      <c r="L94" s="112"/>
      <c r="M94" s="112"/>
      <c r="N94" s="112"/>
      <c r="O94" s="112"/>
      <c r="P94" s="112"/>
      <c r="Q94" s="112"/>
    </row>
    <row r="95" spans="6:26" ht="14.85" customHeight="1">
      <c r="J95" s="112"/>
      <c r="K95" s="112"/>
      <c r="L95" s="112"/>
      <c r="M95" s="112"/>
      <c r="N95" s="112"/>
      <c r="O95" s="112"/>
      <c r="P95" s="112"/>
      <c r="Q95" s="112"/>
    </row>
    <row r="96" spans="6:26" ht="14.85" customHeight="1">
      <c r="J96" s="112"/>
      <c r="K96" s="112"/>
      <c r="L96" s="112"/>
      <c r="M96" s="112"/>
      <c r="N96" s="112"/>
      <c r="O96" s="112"/>
      <c r="P96" s="112"/>
      <c r="Q96" s="112"/>
    </row>
    <row r="97" spans="10:17" ht="14.85" customHeight="1">
      <c r="J97" s="112"/>
      <c r="K97" s="112"/>
      <c r="L97" s="112"/>
      <c r="M97" s="112"/>
      <c r="N97" s="112"/>
      <c r="O97" s="112"/>
      <c r="P97" s="112"/>
      <c r="Q97" s="112"/>
    </row>
    <row r="98" spans="10:17" ht="14.85" customHeight="1">
      <c r="J98" s="112"/>
      <c r="K98" s="112"/>
      <c r="L98" s="112"/>
      <c r="M98" s="112"/>
      <c r="N98" s="112"/>
      <c r="O98" s="112"/>
      <c r="P98" s="112"/>
      <c r="Q98" s="112"/>
    </row>
    <row r="99" spans="10:17" ht="14.85" customHeight="1">
      <c r="J99" s="112"/>
      <c r="K99" s="112"/>
      <c r="L99" s="112"/>
      <c r="M99" s="112"/>
      <c r="N99" s="112"/>
      <c r="O99" s="112"/>
      <c r="P99" s="112"/>
      <c r="Q99" s="112"/>
    </row>
    <row r="100" spans="10:17" ht="14.85" customHeight="1">
      <c r="J100" s="112"/>
      <c r="K100" s="112"/>
      <c r="L100" s="112"/>
      <c r="M100" s="112"/>
      <c r="N100" s="112"/>
      <c r="O100" s="112"/>
      <c r="P100" s="112"/>
      <c r="Q100" s="112"/>
    </row>
    <row r="101" spans="10:17" ht="14.85" customHeight="1">
      <c r="J101" s="112"/>
      <c r="K101" s="112"/>
      <c r="L101" s="112"/>
      <c r="M101" s="112"/>
      <c r="N101" s="112"/>
      <c r="O101" s="112"/>
      <c r="P101" s="112"/>
      <c r="Q101" s="112"/>
    </row>
    <row r="102" spans="10:17" ht="14.85" customHeight="1">
      <c r="J102" s="112"/>
      <c r="K102" s="112"/>
      <c r="L102" s="112"/>
      <c r="M102" s="112"/>
      <c r="N102" s="112"/>
      <c r="O102" s="112"/>
      <c r="P102" s="112"/>
      <c r="Q102" s="112"/>
    </row>
    <row r="103" spans="10:17" ht="14.85" customHeight="1">
      <c r="J103" s="112"/>
      <c r="K103" s="112"/>
      <c r="L103" s="112"/>
      <c r="M103" s="112"/>
      <c r="N103" s="112"/>
      <c r="O103" s="112"/>
      <c r="P103" s="112"/>
      <c r="Q103" s="112"/>
    </row>
    <row r="104" spans="10:17" ht="14.85" customHeight="1">
      <c r="J104" s="112"/>
      <c r="K104" s="112"/>
      <c r="L104" s="112"/>
      <c r="M104" s="112"/>
      <c r="N104" s="112"/>
      <c r="O104" s="112"/>
      <c r="P104" s="112"/>
      <c r="Q104" s="112"/>
    </row>
    <row r="105" spans="10:17" ht="14.85" customHeight="1">
      <c r="J105" s="112"/>
      <c r="K105" s="112"/>
      <c r="L105" s="112"/>
      <c r="M105" s="112"/>
      <c r="N105" s="112"/>
      <c r="O105" s="112"/>
      <c r="P105" s="112"/>
      <c r="Q105" s="112"/>
    </row>
  </sheetData>
  <mergeCells count="7">
    <mergeCell ref="Y13:Z13"/>
    <mergeCell ref="Y22:Z22"/>
    <mergeCell ref="L25:P25"/>
    <mergeCell ref="S56:S60"/>
    <mergeCell ref="S38:S55"/>
    <mergeCell ref="S31:S37"/>
    <mergeCell ref="R24:R25"/>
  </mergeCells>
  <conditionalFormatting sqref="X30:Z30">
    <cfRule type="cellIs" dxfId="138" priority="1" operator="greaterThan">
      <formula>0</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7761" r:id="rId4" name="Check Box 1">
              <controlPr defaultSize="0" autoFill="0" autoLine="0" autoPict="0">
                <anchor moveWithCells="1">
                  <from>
                    <xdr:col>0</xdr:col>
                    <xdr:colOff>0</xdr:colOff>
                    <xdr:row>20</xdr:row>
                    <xdr:rowOff>180975</xdr:rowOff>
                  </from>
                  <to>
                    <xdr:col>0</xdr:col>
                    <xdr:colOff>361950</xdr:colOff>
                    <xdr:row>22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85DD-4D1C-4757-B4E2-17EFE6ADF110}">
  <sheetPr codeName="List2">
    <pageSetUpPr fitToPage="1"/>
  </sheetPr>
  <dimension ref="A1:AR111"/>
  <sheetViews>
    <sheetView showGridLines="0" showRowColHeaders="0" showZeros="0" zoomScale="55" zoomScaleNormal="55" workbookViewId="0">
      <selection activeCell="AC2" sqref="AC2:AF3"/>
    </sheetView>
  </sheetViews>
  <sheetFormatPr defaultColWidth="0" defaultRowHeight="15" zeroHeight="1"/>
  <cols>
    <col min="1" max="28" width="8.5703125" style="1" customWidth="1"/>
    <col min="29" max="32" width="9.140625" style="1" customWidth="1"/>
    <col min="33" max="16384" width="9.140625" style="1" hidden="1"/>
  </cols>
  <sheetData>
    <row r="1" spans="1:32">
      <c r="A1"/>
      <c r="B1" s="38"/>
      <c r="C1" s="38"/>
      <c r="D1" s="38"/>
      <c r="E1" s="38"/>
      <c r="F1" s="38"/>
      <c r="G1" s="38"/>
      <c r="H1" s="38"/>
      <c r="I1" s="38"/>
      <c r="J1" s="38"/>
      <c r="K1" s="38"/>
      <c r="L1" s="38"/>
      <c r="M1" s="38"/>
      <c r="N1" s="38"/>
      <c r="O1" s="38"/>
      <c r="P1" s="38"/>
      <c r="Q1" s="38"/>
      <c r="R1" s="38"/>
      <c r="S1" s="38"/>
      <c r="T1" s="38"/>
      <c r="U1" s="38"/>
      <c r="V1" s="38"/>
    </row>
    <row r="2" spans="1:32" ht="20.25">
      <c r="A2" s="39"/>
      <c r="B2" s="39"/>
      <c r="C2" s="39"/>
      <c r="D2" s="39"/>
      <c r="E2" s="39"/>
      <c r="F2" s="39"/>
      <c r="G2" s="39"/>
      <c r="H2" s="39"/>
      <c r="I2" s="39"/>
      <c r="J2" s="39"/>
      <c r="K2" s="721" t="str">
        <f>'Translate&amp;Prices&amp;Logo'!$B$312</f>
        <v>Rysunki profili i okuć łączących</v>
      </c>
      <c r="L2" s="721"/>
      <c r="M2" s="721"/>
      <c r="N2" s="721"/>
      <c r="O2" s="721"/>
      <c r="P2" s="721"/>
      <c r="Q2" s="721"/>
      <c r="R2" s="200"/>
      <c r="S2" s="200"/>
      <c r="T2" s="200"/>
      <c r="U2" s="39"/>
      <c r="V2" s="39"/>
      <c r="W2" s="15"/>
      <c r="X2" s="15"/>
      <c r="Y2" s="15"/>
      <c r="Z2" s="15"/>
      <c r="AA2" s="15"/>
      <c r="AB2" s="15"/>
      <c r="AC2" s="719" t="str">
        <f>'Translate&amp;Prices&amp;Logo'!$B$542</f>
        <v>Wprowadzenie</v>
      </c>
      <c r="AD2" s="720"/>
      <c r="AE2" s="720"/>
      <c r="AF2" s="720"/>
    </row>
    <row r="3" spans="1:32" ht="20.25">
      <c r="A3" s="39"/>
      <c r="B3" s="39"/>
      <c r="C3" s="39"/>
      <c r="D3" s="39"/>
      <c r="E3" s="39"/>
      <c r="F3" s="39"/>
      <c r="G3" s="39"/>
      <c r="H3" s="39"/>
      <c r="I3" s="39"/>
      <c r="J3" s="39"/>
      <c r="K3" s="721"/>
      <c r="L3" s="721"/>
      <c r="M3" s="721"/>
      <c r="N3" s="721"/>
      <c r="O3" s="721"/>
      <c r="P3" s="721"/>
      <c r="Q3" s="721"/>
      <c r="R3" s="200"/>
      <c r="S3" s="200"/>
      <c r="T3" s="200"/>
      <c r="U3" s="39"/>
      <c r="V3" s="39"/>
      <c r="W3" s="15"/>
      <c r="X3" s="15"/>
      <c r="Y3" s="15"/>
      <c r="Z3" s="15"/>
      <c r="AA3" s="15"/>
      <c r="AB3" s="15"/>
      <c r="AC3" s="719"/>
      <c r="AD3" s="720"/>
      <c r="AE3" s="720"/>
      <c r="AF3" s="720"/>
    </row>
    <row r="4" spans="1:32">
      <c r="A4" s="38"/>
      <c r="B4" s="38"/>
      <c r="C4" s="38"/>
      <c r="D4" s="38"/>
      <c r="E4" s="38"/>
      <c r="F4" s="38"/>
      <c r="G4" s="38"/>
      <c r="H4" s="38"/>
      <c r="I4" s="38"/>
    </row>
    <row r="5" spans="1:32">
      <c r="A5" s="38"/>
      <c r="B5" s="38"/>
      <c r="C5" s="38"/>
      <c r="D5" s="38"/>
      <c r="E5" s="38"/>
      <c r="F5" s="38"/>
      <c r="G5" s="38"/>
      <c r="H5" s="38"/>
      <c r="I5" s="38"/>
    </row>
    <row r="6" spans="1:32"/>
    <row r="7" spans="1:32"/>
    <row r="8" spans="1:32" s="9" customFormat="1" ht="18.600000000000001" customHeight="1">
      <c r="B8" s="715" t="str">
        <f>'Translate&amp;Prices&amp;Logo'!$B$235</f>
        <v>Wąska ALU ramka</v>
      </c>
      <c r="C8" s="715"/>
      <c r="D8" s="715"/>
      <c r="E8" s="715"/>
      <c r="F8" s="715"/>
      <c r="G8" s="715"/>
      <c r="V8" s="717" t="str">
        <f>'Translate&amp;Prices&amp;Logo'!$B$318</f>
        <v>Rysunki profili</v>
      </c>
      <c r="W8" s="717"/>
      <c r="X8" s="717"/>
      <c r="Y8" s="717"/>
      <c r="Z8" s="717"/>
      <c r="AA8" s="717"/>
      <c r="AB8" s="215"/>
      <c r="AC8" s="215"/>
    </row>
    <row r="9" spans="1:32"/>
    <row r="10" spans="1:32"/>
    <row r="11" spans="1:32">
      <c r="B11"/>
    </row>
    <row r="12" spans="1:32"/>
    <row r="13" spans="1:32"/>
    <row r="14" spans="1:32"/>
    <row r="15" spans="1:32"/>
    <row r="16" spans="1:32"/>
    <row r="17" spans="2:44"/>
    <row r="18" spans="2:44"/>
    <row r="19" spans="2:44" ht="21" customHeight="1">
      <c r="AA19" s="57"/>
      <c r="AR19" s="57"/>
    </row>
    <row r="20" spans="2:44" ht="14.85" customHeight="1">
      <c r="AA20" s="57"/>
      <c r="AR20" s="57"/>
    </row>
    <row r="21" spans="2:44" ht="14.85" customHeight="1"/>
    <row r="22" spans="2:44" ht="14.85" customHeight="1">
      <c r="B22" s="716" t="s">
        <v>27</v>
      </c>
      <c r="C22" s="716"/>
      <c r="D22" s="716"/>
      <c r="F22" s="716" t="s">
        <v>1413</v>
      </c>
      <c r="G22" s="716"/>
      <c r="H22" s="716"/>
      <c r="J22" s="716" t="s">
        <v>1414</v>
      </c>
      <c r="K22" s="716"/>
      <c r="L22" s="716"/>
      <c r="N22" s="716" t="s">
        <v>2262</v>
      </c>
      <c r="O22" s="716"/>
      <c r="P22" s="328"/>
    </row>
    <row r="23" spans="2:44" ht="21" customHeight="1">
      <c r="B23" s="716"/>
      <c r="C23" s="716"/>
      <c r="D23" s="716"/>
      <c r="F23" s="716"/>
      <c r="G23" s="716"/>
      <c r="H23" s="716"/>
      <c r="J23" s="716"/>
      <c r="K23" s="716"/>
      <c r="L23" s="716"/>
      <c r="N23" s="716"/>
      <c r="O23" s="716"/>
      <c r="P23" s="328"/>
    </row>
    <row r="24" spans="2:44" ht="21" customHeight="1">
      <c r="B24" s="207"/>
      <c r="C24" s="207"/>
      <c r="D24" s="207"/>
      <c r="F24" s="207"/>
      <c r="G24" s="207"/>
      <c r="H24" s="207"/>
      <c r="J24" s="207"/>
      <c r="K24" s="207"/>
      <c r="L24" s="207"/>
      <c r="N24" s="207"/>
      <c r="O24" s="207"/>
      <c r="P24" s="207"/>
      <c r="R24" s="207"/>
      <c r="S24" s="207"/>
      <c r="T24" s="207"/>
    </row>
    <row r="25" spans="2:44" ht="21" customHeight="1">
      <c r="B25" s="207"/>
      <c r="C25" s="207"/>
      <c r="D25" s="207"/>
      <c r="F25" s="207"/>
      <c r="G25" s="207"/>
      <c r="H25" s="207"/>
      <c r="J25" s="207"/>
      <c r="K25" s="207"/>
      <c r="L25" s="207"/>
      <c r="N25" s="207"/>
      <c r="O25" s="207"/>
      <c r="P25" s="207"/>
      <c r="R25" s="207"/>
      <c r="S25" s="207"/>
      <c r="T25" s="207"/>
      <c r="AB25" s="3"/>
    </row>
    <row r="26" spans="2:44" ht="21" customHeight="1">
      <c r="B26" s="207"/>
      <c r="C26" s="207"/>
      <c r="D26" s="207"/>
      <c r="F26" s="207"/>
      <c r="G26" s="207"/>
      <c r="H26" s="207"/>
      <c r="J26" s="207"/>
      <c r="K26" s="207"/>
      <c r="L26" s="207"/>
      <c r="N26" s="207"/>
      <c r="O26" s="207"/>
      <c r="P26" s="207"/>
      <c r="R26" s="207"/>
      <c r="S26" s="207"/>
      <c r="T26" s="207"/>
    </row>
    <row r="27" spans="2:44" ht="21" customHeight="1">
      <c r="B27" s="207"/>
      <c r="C27" s="207"/>
      <c r="D27" s="207"/>
      <c r="F27" s="207"/>
      <c r="G27" s="207"/>
      <c r="H27" s="207"/>
      <c r="J27" s="207"/>
      <c r="K27" s="207"/>
      <c r="L27" s="207"/>
      <c r="N27" s="207"/>
      <c r="O27" s="207"/>
      <c r="P27" s="207"/>
      <c r="R27" s="207"/>
      <c r="S27" s="207"/>
      <c r="T27" s="207"/>
    </row>
    <row r="28" spans="2:44" ht="21" customHeight="1">
      <c r="B28" s="207"/>
      <c r="C28" s="207"/>
      <c r="D28" s="207"/>
      <c r="F28" s="207"/>
      <c r="G28" s="207"/>
      <c r="H28" s="207"/>
      <c r="J28" s="207"/>
      <c r="K28" s="207"/>
      <c r="L28" s="207"/>
      <c r="N28" s="207"/>
      <c r="O28" s="207"/>
      <c r="P28" s="207"/>
      <c r="R28" s="207"/>
      <c r="S28" s="207"/>
      <c r="T28" s="207"/>
    </row>
    <row r="29" spans="2:44" ht="21" customHeight="1">
      <c r="B29" s="207"/>
      <c r="C29" s="207"/>
      <c r="D29" s="207"/>
      <c r="F29" s="207"/>
      <c r="G29" s="207"/>
      <c r="H29" s="207"/>
      <c r="J29"/>
      <c r="K29" s="207"/>
      <c r="L29" s="207"/>
      <c r="N29" s="207"/>
      <c r="O29" s="207"/>
      <c r="P29" s="207"/>
      <c r="R29" s="207"/>
      <c r="S29" s="207"/>
      <c r="T29" s="207"/>
    </row>
    <row r="30" spans="2:44" ht="21" customHeight="1">
      <c r="B30" s="207"/>
      <c r="C30" s="207"/>
      <c r="D30" s="207"/>
      <c r="F30" s="207"/>
      <c r="G30" s="207"/>
      <c r="H30" s="207"/>
      <c r="J30" s="207"/>
      <c r="K30" s="207"/>
      <c r="L30" s="207"/>
      <c r="M30" s="19"/>
      <c r="N30" s="207"/>
      <c r="O30" s="207"/>
      <c r="P30" s="207"/>
      <c r="R30" s="207"/>
      <c r="S30" s="207"/>
      <c r="T30" s="207"/>
      <c r="AB30" s="3"/>
    </row>
    <row r="31" spans="2:44" ht="21" customHeight="1">
      <c r="B31" s="207"/>
      <c r="C31" s="207"/>
      <c r="D31" s="207"/>
      <c r="F31" s="207"/>
      <c r="G31" s="207"/>
      <c r="H31" s="207"/>
      <c r="J31" s="207"/>
      <c r="K31" s="207"/>
      <c r="L31" s="207"/>
      <c r="N31" s="207"/>
      <c r="O31" s="207"/>
      <c r="P31" s="207"/>
      <c r="R31" s="207"/>
      <c r="S31" s="207"/>
      <c r="T31" s="207"/>
    </row>
    <row r="32" spans="2:44" ht="21" customHeight="1">
      <c r="B32" s="207"/>
      <c r="C32" s="207"/>
      <c r="D32" s="207"/>
      <c r="F32" s="207"/>
      <c r="G32" s="207"/>
      <c r="H32" s="207"/>
      <c r="J32" s="207"/>
      <c r="K32" s="207"/>
      <c r="L32" s="207"/>
      <c r="N32" s="207"/>
      <c r="O32" s="207"/>
      <c r="P32" s="207"/>
      <c r="R32" s="207"/>
      <c r="S32" s="207"/>
      <c r="T32" s="207"/>
    </row>
    <row r="33" spans="1:26" ht="21" customHeight="1">
      <c r="B33" s="716" t="s">
        <v>2271</v>
      </c>
      <c r="C33" s="716"/>
      <c r="D33" s="716"/>
      <c r="F33" s="716" t="s">
        <v>2272</v>
      </c>
      <c r="G33" s="716"/>
      <c r="H33" s="716"/>
      <c r="J33" s="716" t="s">
        <v>4421</v>
      </c>
      <c r="K33" s="716"/>
      <c r="L33" s="716"/>
      <c r="N33" s="716" t="s">
        <v>4554</v>
      </c>
      <c r="O33" s="716"/>
      <c r="P33" s="207"/>
      <c r="R33" s="207"/>
      <c r="S33" s="207"/>
      <c r="T33" s="207"/>
    </row>
    <row r="34" spans="1:26" ht="15" customHeight="1">
      <c r="B34" s="716"/>
      <c r="C34" s="716"/>
      <c r="D34" s="716"/>
      <c r="F34" s="716"/>
      <c r="G34" s="716"/>
      <c r="H34" s="716"/>
      <c r="J34" s="716"/>
      <c r="K34" s="716"/>
      <c r="L34" s="716"/>
      <c r="N34" s="716"/>
      <c r="O34" s="716"/>
    </row>
    <row r="35" spans="1:26">
      <c r="I35"/>
    </row>
    <row r="36" spans="1:26" ht="14.85" customHeight="1">
      <c r="B36" s="114"/>
      <c r="C36" s="114"/>
      <c r="D36" s="114"/>
      <c r="E36" s="114"/>
      <c r="G36" s="114"/>
      <c r="H36" s="114"/>
      <c r="I36" s="114"/>
      <c r="J36" s="114"/>
      <c r="L36" s="114"/>
      <c r="M36" s="114"/>
      <c r="N36" s="114"/>
      <c r="O36" s="114"/>
      <c r="Q36" s="114"/>
      <c r="R36" s="114"/>
      <c r="S36" s="114"/>
      <c r="T36" s="114"/>
      <c r="U36" s="114"/>
      <c r="V36" s="114"/>
      <c r="W36" s="114"/>
    </row>
    <row r="37" spans="1:26" s="9" customFormat="1" ht="18.600000000000001" customHeight="1">
      <c r="A37" s="1"/>
      <c r="B37" s="715" t="str">
        <f>'Translate&amp;Prices&amp;Logo'!$B$236</f>
        <v>Szeroka ALU ramka</v>
      </c>
      <c r="C37" s="715"/>
      <c r="D37" s="715"/>
      <c r="E37" s="715"/>
      <c r="F37" s="715"/>
      <c r="G37" s="715"/>
      <c r="H37" s="114"/>
      <c r="I37" s="114"/>
      <c r="J37" s="114"/>
      <c r="L37" s="114"/>
      <c r="M37" s="114"/>
      <c r="N37" s="114"/>
      <c r="O37" s="114"/>
      <c r="Q37" s="114"/>
      <c r="R37" s="114"/>
      <c r="S37" s="114"/>
      <c r="T37" s="114"/>
      <c r="U37" s="114"/>
      <c r="V37" s="722"/>
      <c r="W37" s="722"/>
      <c r="Y37" s="723"/>
      <c r="Z37" s="723"/>
    </row>
    <row r="38" spans="1:26" ht="14.85" customHeight="1"/>
    <row r="39" spans="1:26"/>
    <row r="40" spans="1:26">
      <c r="B40"/>
      <c r="R40"/>
    </row>
    <row r="41" spans="1:26"/>
    <row r="42" spans="1:26">
      <c r="A42" s="9"/>
    </row>
    <row r="43" spans="1:26"/>
    <row r="44" spans="1:26"/>
    <row r="45" spans="1:26"/>
    <row r="46" spans="1:26"/>
    <row r="47" spans="1:26"/>
    <row r="48" spans="1:26"/>
    <row r="49" spans="2:43"/>
    <row r="50" spans="2:43"/>
    <row r="51" spans="2:43" ht="14.45" customHeight="1">
      <c r="F51" s="328"/>
      <c r="G51" s="328"/>
      <c r="H51" s="328"/>
      <c r="K51" s="328"/>
      <c r="L51" s="328"/>
      <c r="N51" s="716"/>
      <c r="O51" s="716"/>
      <c r="P51" s="716"/>
    </row>
    <row r="52" spans="2:43" ht="14.45" customHeight="1">
      <c r="B52" s="716" t="s">
        <v>1418</v>
      </c>
      <c r="C52" s="716"/>
      <c r="D52" s="716"/>
      <c r="F52" s="716" t="s">
        <v>1419</v>
      </c>
      <c r="G52" s="716"/>
      <c r="H52" s="328"/>
      <c r="J52" s="716" t="s">
        <v>1416</v>
      </c>
      <c r="K52" s="716"/>
      <c r="L52" s="328"/>
      <c r="N52" s="716"/>
      <c r="O52" s="716"/>
      <c r="P52" s="716"/>
    </row>
    <row r="53" spans="2:43" ht="18" customHeight="1">
      <c r="B53" s="716"/>
      <c r="C53" s="716"/>
      <c r="D53" s="716"/>
      <c r="F53" s="716"/>
      <c r="G53" s="716"/>
      <c r="J53" s="716"/>
      <c r="K53" s="716"/>
      <c r="L53" s="328"/>
      <c r="V53" s="718" t="s">
        <v>4554</v>
      </c>
      <c r="W53" s="718"/>
      <c r="X53" s="718"/>
      <c r="AF53" s="49"/>
      <c r="AQ53" s="49"/>
    </row>
    <row r="54" spans="2:43">
      <c r="I54"/>
      <c r="V54" s="718"/>
      <c r="W54" s="718"/>
      <c r="X54" s="718"/>
    </row>
    <row r="55" spans="2:43">
      <c r="AF55" s="49"/>
      <c r="AQ55" s="49"/>
    </row>
    <row r="56" spans="2:43">
      <c r="B56"/>
    </row>
    <row r="57" spans="2:43">
      <c r="AC57" s="49"/>
      <c r="AD57" s="49"/>
      <c r="AE57" s="49"/>
      <c r="AF57" s="49"/>
      <c r="AQ57" s="49"/>
    </row>
    <row r="58" spans="2:43"/>
    <row r="59" spans="2:43">
      <c r="I59"/>
      <c r="AC59" s="49"/>
      <c r="AD59" s="49"/>
      <c r="AE59" s="49"/>
      <c r="AF59" s="49"/>
      <c r="AQ59" s="49"/>
    </row>
    <row r="60" spans="2:43"/>
    <row r="61" spans="2:43">
      <c r="AC61" s="49"/>
      <c r="AD61" s="49"/>
      <c r="AE61" s="49"/>
      <c r="AF61" s="49"/>
      <c r="AQ61" s="49"/>
    </row>
    <row r="62" spans="2:43"/>
    <row r="63" spans="2:43">
      <c r="C63"/>
      <c r="AC63" s="49"/>
      <c r="AD63" s="49"/>
      <c r="AE63" s="49"/>
      <c r="AF63" s="49"/>
      <c r="AQ63" s="49"/>
    </row>
    <row r="64" spans="2:43"/>
    <row r="65" spans="2:27"/>
    <row r="66" spans="2:27"/>
    <row r="67" spans="2:27" ht="14.45" customHeight="1">
      <c r="B67" s="716" t="s">
        <v>1417</v>
      </c>
      <c r="C67" s="716"/>
      <c r="D67" s="716"/>
      <c r="F67" s="716" t="s">
        <v>1415</v>
      </c>
      <c r="G67" s="716"/>
      <c r="H67" s="716"/>
      <c r="K67" s="328"/>
      <c r="L67" s="328"/>
      <c r="N67" s="716"/>
      <c r="O67" s="716"/>
      <c r="P67" s="716"/>
    </row>
    <row r="68" spans="2:27" ht="14.45" customHeight="1">
      <c r="B68" s="716"/>
      <c r="C68" s="716"/>
      <c r="D68" s="716"/>
      <c r="F68" s="716"/>
      <c r="G68" s="716"/>
      <c r="H68" s="716"/>
      <c r="J68" s="328"/>
      <c r="K68" s="328"/>
      <c r="L68" s="328"/>
      <c r="N68" s="716"/>
      <c r="O68" s="716"/>
      <c r="P68" s="716"/>
      <c r="V68" s="715" t="str">
        <f>'Translate&amp;Prices&amp;Logo'!$B$296</f>
        <v>Minimalna odległość umieszczenia zawiasu</v>
      </c>
      <c r="W68" s="715"/>
      <c r="X68" s="715"/>
      <c r="Y68" s="715"/>
      <c r="Z68" s="715"/>
      <c r="AA68" s="715"/>
    </row>
    <row r="69" spans="2:27"/>
    <row r="70" spans="2:27"/>
    <row r="71" spans="2:27"/>
    <row r="72" spans="2:27" ht="18.75">
      <c r="B72" s="724" t="str">
        <f>'Translate&amp;Prices&amp;Logo'!$B$544</f>
        <v>Połączenie 2 profili</v>
      </c>
      <c r="C72" s="724"/>
      <c r="D72" s="724"/>
      <c r="E72" s="724"/>
      <c r="F72" s="724"/>
      <c r="G72" s="724"/>
    </row>
    <row r="73" spans="2:27"/>
    <row r="74" spans="2:27"/>
    <row r="75" spans="2:27"/>
    <row r="76" spans="2:27"/>
    <row r="77" spans="2:27"/>
    <row r="78" spans="2:27"/>
    <row r="79" spans="2:27"/>
    <row r="80" spans="2:27"/>
    <row r="81" spans="2:7"/>
    <row r="82" spans="2:7"/>
    <row r="83" spans="2:7"/>
    <row r="84" spans="2:7"/>
    <row r="85" spans="2:7"/>
    <row r="86" spans="2:7"/>
    <row r="87" spans="2:7"/>
    <row r="88" spans="2:7"/>
    <row r="89" spans="2:7"/>
    <row r="90" spans="2:7"/>
    <row r="91" spans="2:7"/>
    <row r="92" spans="2:7" ht="18.75">
      <c r="B92" s="724" t="str">
        <f>'Translate&amp;Prices&amp;Logo'!$B$545</f>
        <v>Szprosy</v>
      </c>
      <c r="C92" s="724"/>
      <c r="D92" s="724"/>
      <c r="E92" s="724"/>
      <c r="F92" s="724"/>
      <c r="G92" s="724"/>
    </row>
    <row r="93" spans="2:7"/>
    <row r="94" spans="2:7"/>
    <row r="95" spans="2:7"/>
    <row r="96" spans="2:7"/>
    <row r="97"/>
    <row r="98"/>
    <row r="99"/>
    <row r="100"/>
    <row r="101"/>
    <row r="102"/>
    <row r="103"/>
    <row r="104"/>
    <row r="105"/>
    <row r="106"/>
    <row r="107"/>
    <row r="108"/>
    <row r="109"/>
    <row r="110"/>
    <row r="111"/>
  </sheetData>
  <sheetProtection algorithmName="SHA-512" hashValue="3RFLae8+lvncaQdw5wYN///g3JlBA4ECUwBp/rIVDchBsSMhUEuR6VBPiYCvwS6b60JZU4o/2N2rrimi5gpXew==" saltValue="1WERblkKhMmRsb0pdeCxxQ==" spinCount="100000" sheet="1" objects="1" scenarios="1"/>
  <mergeCells count="26">
    <mergeCell ref="B92:G92"/>
    <mergeCell ref="B33:D34"/>
    <mergeCell ref="F33:H34"/>
    <mergeCell ref="B72:G72"/>
    <mergeCell ref="B67:D68"/>
    <mergeCell ref="B52:D53"/>
    <mergeCell ref="F67:H68"/>
    <mergeCell ref="B37:G37"/>
    <mergeCell ref="F52:G53"/>
    <mergeCell ref="AC2:AF3"/>
    <mergeCell ref="N67:P68"/>
    <mergeCell ref="N51:P52"/>
    <mergeCell ref="K2:Q3"/>
    <mergeCell ref="V37:W37"/>
    <mergeCell ref="Y37:Z37"/>
    <mergeCell ref="J33:L34"/>
    <mergeCell ref="B8:G8"/>
    <mergeCell ref="B22:D23"/>
    <mergeCell ref="V68:AA68"/>
    <mergeCell ref="F22:H23"/>
    <mergeCell ref="V8:AA8"/>
    <mergeCell ref="J22:L23"/>
    <mergeCell ref="J52:K53"/>
    <mergeCell ref="N33:O34"/>
    <mergeCell ref="N22:O23"/>
    <mergeCell ref="V53:X54"/>
  </mergeCells>
  <hyperlinks>
    <hyperlink ref="AC2:AF3" location="Hlavní!A1" display="Hlavní!A1" xr:uid="{919E2E19-1A62-4989-A0DF-222614B2E9D3}"/>
  </hyperlinks>
  <pageMargins left="0.7" right="0.7" top="0.78740157499999996" bottom="0.78740157499999996" header="0.3" footer="0.3"/>
  <pageSetup paperSize="9" scale="3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967">
              <controlPr locked="0" defaultSize="0" autoFill="0" autoLine="0" autoPict="0">
                <anchor moveWithCells="1">
                  <from>
                    <xdr:col>22</xdr:col>
                    <xdr:colOff>0</xdr:colOff>
                    <xdr:row>0</xdr:row>
                    <xdr:rowOff>0</xdr:rowOff>
                  </from>
                  <to>
                    <xdr:col>22</xdr:col>
                    <xdr:colOff>0</xdr:colOff>
                    <xdr:row>1</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09EC-3894-4570-AB54-1E648138882B}">
  <sheetPr codeName="List24">
    <tabColor rgb="FF92D050"/>
  </sheetPr>
  <dimension ref="A1:BI178"/>
  <sheetViews>
    <sheetView showGridLines="0" showRowColHeaders="0" showZeros="0" workbookViewId="0">
      <selection activeCell="AL2" sqref="AL2:AP3"/>
    </sheetView>
  </sheetViews>
  <sheetFormatPr defaultColWidth="0" defaultRowHeight="14.85" customHeight="1" zeroHeight="1"/>
  <cols>
    <col min="1" max="14" width="4.42578125" style="1" customWidth="1"/>
    <col min="15" max="15" width="5.42578125" style="1" customWidth="1"/>
    <col min="16" max="20" width="4.42578125" style="1" customWidth="1"/>
    <col min="21" max="26" width="5.140625" style="1" customWidth="1"/>
    <col min="27" max="30" width="4.42578125" style="1" customWidth="1"/>
    <col min="31" max="31" width="4.42578125" style="13" customWidth="1"/>
    <col min="32" max="32" width="4.42578125" style="11" customWidth="1"/>
    <col min="33" max="39" width="4.42578125" style="1" customWidth="1"/>
    <col min="40" max="40" width="5.28515625" style="1" customWidth="1"/>
    <col min="41" max="41" width="6.85546875" style="1" customWidth="1"/>
    <col min="42" max="42" width="5.42578125" style="1" customWidth="1"/>
    <col min="43" max="46" width="8.5703125" style="1" hidden="1" customWidth="1"/>
    <col min="47" max="47" width="12.140625" style="1" hidden="1" customWidth="1"/>
    <col min="48" max="52" width="8.5703125" style="1" hidden="1" customWidth="1"/>
    <col min="53" max="53" width="8.85546875" style="12" hidden="1" customWidth="1"/>
    <col min="54" max="54" width="8.5703125" style="12" hidden="1" customWidth="1"/>
    <col min="55" max="55" width="8.5703125" style="1" hidden="1" customWidth="1"/>
    <col min="56" max="56" width="11.28515625" style="1" hidden="1" customWidth="1"/>
    <col min="57" max="58" width="8.5703125" style="1" hidden="1" customWidth="1"/>
    <col min="59" max="59" width="12.5703125" style="1" hidden="1" customWidth="1"/>
    <col min="60" max="60" width="12.85546875" style="1" hidden="1" customWidth="1"/>
    <col min="61" max="61" width="16" style="1" hidden="1" customWidth="1"/>
    <col min="62" max="16384" width="8.5703125" style="1" hidden="1"/>
  </cols>
  <sheetData>
    <row r="1" spans="1:53" ht="15">
      <c r="A1" s="38"/>
      <c r="B1" s="38"/>
      <c r="C1" s="38"/>
      <c r="D1" s="38"/>
      <c r="E1" s="38"/>
      <c r="F1" s="38"/>
      <c r="G1" s="38"/>
      <c r="H1" s="38"/>
      <c r="I1" s="38"/>
      <c r="J1" s="38"/>
      <c r="K1" s="38"/>
      <c r="L1" s="38"/>
      <c r="M1" s="38"/>
      <c r="N1" s="38"/>
      <c r="O1" s="38"/>
      <c r="P1" s="38"/>
      <c r="Q1" s="38"/>
      <c r="R1" s="38"/>
      <c r="S1" s="38"/>
      <c r="T1" s="38"/>
      <c r="U1" s="38"/>
      <c r="V1" s="38"/>
      <c r="AM1" s="729">
        <f ca="1">TODAY()</f>
        <v>46281</v>
      </c>
      <c r="AN1" s="533"/>
      <c r="AO1" s="533"/>
      <c r="AP1" s="533"/>
    </row>
    <row r="2" spans="1:53"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554" t="str">
        <f>'Translate&amp;Prices&amp;Logo'!$B$542</f>
        <v>Wprowadzenie</v>
      </c>
      <c r="AM2" s="555"/>
      <c r="AN2" s="555"/>
      <c r="AO2" s="555"/>
      <c r="AP2" s="555"/>
    </row>
    <row r="3" spans="1:53"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554"/>
      <c r="AM3" s="555"/>
      <c r="AN3" s="555"/>
      <c r="AO3" s="555"/>
      <c r="AP3" s="555"/>
    </row>
    <row r="4" spans="1:53" ht="14.85" customHeight="1"/>
    <row r="5" spans="1:53" ht="14.85" customHeight="1">
      <c r="B5" s="306" t="str">
        <f>'Translate&amp;Prices&amp;Logo'!$B$251</f>
        <v>Klient</v>
      </c>
      <c r="C5" s="306"/>
      <c r="D5" s="306"/>
      <c r="E5" s="306"/>
      <c r="F5" s="306"/>
      <c r="G5" s="283"/>
      <c r="H5" s="725">
        <f>Zakaznik!$K$13</f>
        <v>0</v>
      </c>
      <c r="I5" s="725"/>
      <c r="J5" s="725"/>
      <c r="K5" s="725"/>
      <c r="L5" s="725"/>
      <c r="M5" s="725"/>
      <c r="N5" s="725"/>
      <c r="Q5" s="728" t="s">
        <v>3519</v>
      </c>
      <c r="R5" s="728"/>
      <c r="S5" s="728"/>
      <c r="T5" s="36"/>
      <c r="U5" s="725">
        <f>Zakaznik!K23</f>
        <v>0</v>
      </c>
      <c r="V5" s="725"/>
      <c r="W5" s="725"/>
      <c r="X5" s="725"/>
      <c r="Y5" s="725"/>
      <c r="Z5" s="725"/>
      <c r="AB5" s="304" t="str">
        <f>'Translate&amp;Prices&amp;Logo'!$B$180</f>
        <v>Cena ramek</v>
      </c>
      <c r="AC5" s="304"/>
      <c r="AD5" s="304"/>
      <c r="AE5" s="304"/>
      <c r="AF5" s="304"/>
      <c r="AG5" s="36"/>
      <c r="AH5" s="731">
        <f>SUM(Ram_1!$L$30,Ram_2!$L$30,Ram_3!$L$30,Ram_4!$L$30,Ram_5!$L$30,Ram_6!$L$30)</f>
        <v>0</v>
      </c>
      <c r="AI5" s="731"/>
      <c r="AJ5" s="731"/>
      <c r="AK5" s="731"/>
      <c r="AL5" s="731"/>
      <c r="AM5" s="305" t="str">
        <f>VLOOKUP('Translate&amp;Prices&amp;Logo'!D1,kombinace_1!$EV$1:$EW$6,2,0)</f>
        <v>zl</v>
      </c>
      <c r="AN5" s="303"/>
      <c r="AO5" s="733" t="str">
        <f>IF(U5="Dostawa na adres","Cennik transportu - kliknij tutaj","")</f>
        <v/>
      </c>
      <c r="AP5" s="733"/>
      <c r="AQ5" s="417"/>
      <c r="AR5" s="417"/>
      <c r="AS5" s="417"/>
    </row>
    <row r="6" spans="1:53" ht="14.85" customHeight="1">
      <c r="B6" s="306" t="str">
        <f>'Translate&amp;Prices&amp;Logo'!$B$255</f>
        <v>NIP</v>
      </c>
      <c r="C6" s="306"/>
      <c r="D6" s="306"/>
      <c r="E6" s="306"/>
      <c r="F6" s="306"/>
      <c r="G6" s="283"/>
      <c r="H6" s="725">
        <f>Zakaznik!$K$15</f>
        <v>0</v>
      </c>
      <c r="I6" s="725"/>
      <c r="J6" s="725"/>
      <c r="K6" s="725"/>
      <c r="L6" s="725"/>
      <c r="M6" s="725"/>
      <c r="N6" s="725"/>
      <c r="Q6" s="728" t="s">
        <v>3520</v>
      </c>
      <c r="R6" s="728"/>
      <c r="S6" s="728"/>
      <c r="T6" s="36"/>
      <c r="U6" s="726">
        <f>Zakaznik!$K$25</f>
        <v>0</v>
      </c>
      <c r="V6" s="726"/>
      <c r="W6" s="726"/>
      <c r="X6" s="726"/>
      <c r="Y6" s="726"/>
      <c r="Z6" s="726"/>
      <c r="AB6" s="730" t="str">
        <f>IF(AND(Hlavní!V39=3,Zakaznik!K23="Dostawa na adres"),"Koszty transportu","")</f>
        <v/>
      </c>
      <c r="AC6" s="730"/>
      <c r="AD6" s="730"/>
      <c r="AE6" s="730"/>
      <c r="AF6" s="730"/>
      <c r="AG6" s="36"/>
      <c r="AH6" s="732">
        <f>IF(AND(Hlavní!V39=3,Zakaznik!K23="Dostawa na adres"),'kalkulace dopravy'!U2,0)</f>
        <v>0</v>
      </c>
      <c r="AI6" s="732"/>
      <c r="AJ6" s="732"/>
      <c r="AK6" s="732"/>
      <c r="AL6" s="732"/>
      <c r="AM6" s="305" t="s">
        <v>3518</v>
      </c>
      <c r="AO6" s="733"/>
      <c r="AP6" s="733"/>
      <c r="AQ6" s="417"/>
      <c r="AR6" s="417"/>
      <c r="AS6" s="417"/>
    </row>
    <row r="7" spans="1:53" ht="14.85" customHeight="1">
      <c r="B7" s="306" t="str">
        <f>'Translate&amp;Prices&amp;Logo'!$B$252</f>
        <v>Telefon kontaktowy</v>
      </c>
      <c r="C7" s="306"/>
      <c r="D7" s="306"/>
      <c r="E7" s="306"/>
      <c r="F7" s="306"/>
      <c r="G7" s="283"/>
      <c r="H7" s="725">
        <f>Zakaznik!$K$17</f>
        <v>0</v>
      </c>
      <c r="I7" s="725"/>
      <c r="J7" s="725"/>
      <c r="K7" s="725"/>
      <c r="L7" s="725"/>
      <c r="M7" s="725"/>
      <c r="N7" s="725"/>
      <c r="U7" s="726">
        <f>Zakaznik!$K$26</f>
        <v>0</v>
      </c>
      <c r="V7" s="726"/>
      <c r="W7" s="726"/>
      <c r="X7" s="726"/>
      <c r="Y7" s="726"/>
      <c r="Z7" s="726"/>
      <c r="AA7" s="30"/>
      <c r="AB7" s="728" t="str">
        <f>IF(AND(Hlavní!V39=3,Zakaznik!K23="Dostawa na adres"),"Cena razem","")</f>
        <v/>
      </c>
      <c r="AC7" s="728"/>
      <c r="AD7" s="728"/>
      <c r="AE7" s="728"/>
      <c r="AF7" s="728"/>
      <c r="AG7" s="36"/>
      <c r="AH7" s="732">
        <f>SUM(AH5:AL6)</f>
        <v>0</v>
      </c>
      <c r="AI7" s="732"/>
      <c r="AJ7" s="732"/>
      <c r="AK7" s="732"/>
      <c r="AL7" s="732"/>
      <c r="AM7" s="305" t="s">
        <v>3518</v>
      </c>
      <c r="AO7" s="733"/>
      <c r="AP7" s="733"/>
    </row>
    <row r="8" spans="1:53" ht="14.85" customHeight="1">
      <c r="K8" s="298"/>
      <c r="L8" s="298"/>
      <c r="M8" s="298"/>
      <c r="N8" s="298"/>
      <c r="O8" s="298"/>
      <c r="Q8" s="31"/>
      <c r="R8" s="299"/>
      <c r="S8" s="299"/>
      <c r="T8" s="299"/>
      <c r="U8" s="726">
        <f>Zakaznik!$K$27</f>
        <v>0</v>
      </c>
      <c r="V8" s="726"/>
      <c r="W8" s="726"/>
      <c r="X8" s="726"/>
      <c r="Y8" s="726"/>
      <c r="Z8" s="726"/>
      <c r="AA8" s="30"/>
      <c r="AB8" s="30"/>
      <c r="AC8" s="31"/>
      <c r="AE8" s="302"/>
      <c r="AF8" s="302"/>
      <c r="AG8" s="302"/>
      <c r="AH8" s="302"/>
      <c r="AI8" s="302"/>
      <c r="AJ8" s="302"/>
    </row>
    <row r="9" spans="1:53" ht="15" customHeight="1">
      <c r="B9" s="728" t="str">
        <f>'Translate&amp;Prices&amp;Logo'!$B$256</f>
        <v>Rabat na ramki</v>
      </c>
      <c r="C9" s="728"/>
      <c r="D9" s="728"/>
      <c r="E9" s="728"/>
      <c r="F9" s="728"/>
      <c r="G9" s="283"/>
      <c r="H9" s="735">
        <f>Zakaznik!$K$21</f>
        <v>0</v>
      </c>
      <c r="I9" s="735"/>
      <c r="J9" s="735"/>
      <c r="K9" s="735"/>
      <c r="L9" s="735"/>
      <c r="M9" s="735"/>
      <c r="N9" s="735"/>
      <c r="AB9" s="704" t="str">
        <f>IF(ISTEXT(AH6)=TRUE,VLOOKUP(AH6,'kalkulace dopravy'!X2:Y4,2,0),"")</f>
        <v/>
      </c>
      <c r="AC9" s="704"/>
      <c r="AD9" s="704"/>
      <c r="AE9" s="704"/>
      <c r="AF9" s="704"/>
      <c r="AG9" s="704"/>
      <c r="AH9" s="704"/>
      <c r="AI9" s="704"/>
      <c r="AJ9" s="704"/>
      <c r="AK9" s="704"/>
      <c r="AL9" s="704"/>
      <c r="AM9" s="704"/>
      <c r="AN9" s="704"/>
      <c r="AO9" s="704"/>
      <c r="AP9" s="316"/>
      <c r="AU9" s="1">
        <f>IF(Hlavní!$V$39=3,1,2)</f>
        <v>1</v>
      </c>
    </row>
    <row r="10" spans="1:53" ht="15" customHeight="1">
      <c r="B10" s="308">
        <f>Zakaznik!$K$21</f>
        <v>0</v>
      </c>
      <c r="C10" s="97"/>
      <c r="D10" s="97"/>
      <c r="E10" s="97"/>
      <c r="F10" s="97"/>
      <c r="AB10" s="704"/>
      <c r="AC10" s="704"/>
      <c r="AD10" s="704"/>
      <c r="AE10" s="704"/>
      <c r="AF10" s="704"/>
      <c r="AG10" s="704"/>
      <c r="AH10" s="704"/>
      <c r="AI10" s="704"/>
      <c r="AJ10" s="704"/>
      <c r="AK10" s="704"/>
      <c r="AL10" s="704"/>
      <c r="AM10" s="704"/>
      <c r="AN10" s="704"/>
      <c r="AO10" s="704"/>
      <c r="AP10" s="316"/>
      <c r="AU10" s="1">
        <f>IF(Zakaznik!K23="Dostawa na adres",1,2)</f>
        <v>2</v>
      </c>
    </row>
    <row r="11" spans="1:53" ht="14.85" customHeight="1" thickBot="1">
      <c r="AK11" s="734"/>
      <c r="AL11" s="734"/>
      <c r="AM11" s="734"/>
      <c r="AN11" s="316"/>
      <c r="AO11" s="316"/>
      <c r="AP11" s="316"/>
    </row>
    <row r="12" spans="1:53" ht="14.85" customHeight="1" thickTop="1">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10"/>
      <c r="AF12" s="111"/>
      <c r="AG12" s="109"/>
      <c r="AH12" s="109"/>
      <c r="AI12" s="109"/>
      <c r="AJ12" s="109"/>
      <c r="AK12" s="109"/>
      <c r="AL12" s="109"/>
      <c r="AM12" s="109"/>
      <c r="AN12" s="109"/>
      <c r="AO12" s="109"/>
      <c r="BA12" s="1"/>
    </row>
    <row r="13" spans="1:53" ht="14.85" customHeight="1">
      <c r="D13" s="727" t="str">
        <f>"&lt; "&amp;'Translate&amp;Prices&amp;Logo'!$B$576&amp;" -- "&amp;Ram_1!$A$2</f>
        <v>&lt; Powrót -- Ramka  1</v>
      </c>
      <c r="E13" s="727"/>
      <c r="F13" s="727"/>
      <c r="G13" s="727"/>
      <c r="H13" s="727"/>
      <c r="BA13" s="1"/>
    </row>
    <row r="14" spans="1:53" ht="14.85" customHeight="1"/>
    <row r="15" spans="1:53" ht="14.85" customHeight="1"/>
    <row r="16" spans="1:53" ht="14.85" customHeight="1">
      <c r="AU16" s="573"/>
    </row>
    <row r="17" spans="47:53" ht="14.85" customHeight="1">
      <c r="AU17" s="573"/>
    </row>
    <row r="18" spans="47:53" ht="14.85" customHeight="1"/>
    <row r="19" spans="47:53" ht="14.85" customHeight="1">
      <c r="AU19" s="573"/>
      <c r="BA19" s="1"/>
    </row>
    <row r="20" spans="47:53" ht="14.85" customHeight="1">
      <c r="AU20" s="573"/>
    </row>
    <row r="21" spans="47:53" ht="14.85" customHeight="1"/>
    <row r="22" spans="47:53" ht="14.85" customHeight="1"/>
    <row r="23" spans="47:53" ht="14.85" customHeight="1"/>
    <row r="24" spans="47:53" ht="14.85" customHeight="1"/>
    <row r="25" spans="47:53" ht="14.85" customHeight="1"/>
    <row r="26" spans="47:53" ht="14.85" customHeight="1"/>
    <row r="27" spans="47:53" ht="14.85" customHeight="1"/>
    <row r="28" spans="47:53" ht="14.85" customHeight="1"/>
    <row r="29" spans="47:53" ht="14.85" customHeight="1"/>
    <row r="30" spans="47:53" ht="14.85" customHeight="1"/>
    <row r="31" spans="47:53" ht="14.85" customHeight="1"/>
    <row r="32" spans="47:53" ht="14.85" customHeight="1"/>
    <row r="33" spans="2:41" ht="14.85" customHeight="1"/>
    <row r="34" spans="2:41" ht="14.85" customHeight="1"/>
    <row r="35" spans="2:41" ht="14.85" customHeight="1"/>
    <row r="36" spans="2:41" ht="14.85" customHeight="1"/>
    <row r="37" spans="2:41" ht="14.85" customHeight="1"/>
    <row r="38" spans="2:41" ht="14.85" customHeight="1">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1"/>
      <c r="AF38" s="42"/>
      <c r="AG38" s="40"/>
      <c r="AH38" s="40"/>
      <c r="AI38" s="40"/>
      <c r="AJ38" s="40"/>
      <c r="AK38" s="40"/>
      <c r="AL38" s="40"/>
      <c r="AM38" s="40"/>
      <c r="AN38" s="40"/>
      <c r="AO38" s="40"/>
    </row>
    <row r="39" spans="2:41" ht="15"/>
    <row r="40" spans="2:41" ht="15">
      <c r="D40" s="727" t="str">
        <f>"&lt; "&amp;'Translate&amp;Prices&amp;Logo'!$B$576&amp;" -- "&amp;Ram_2!$A$2</f>
        <v>&lt; Powrót -- Ramka  2</v>
      </c>
      <c r="E40" s="727"/>
      <c r="F40" s="727"/>
      <c r="G40" s="727"/>
      <c r="H40" s="727"/>
    </row>
    <row r="41" spans="2:41" ht="15"/>
    <row r="42" spans="2:41" ht="15"/>
    <row r="43" spans="2:41" ht="15"/>
    <row r="44" spans="2:41" ht="15"/>
    <row r="45" spans="2:41" ht="15"/>
    <row r="46" spans="2:41" ht="15"/>
    <row r="47" spans="2:41" ht="15"/>
    <row r="48" spans="2:41" ht="15"/>
    <row r="49" ht="15"/>
    <row r="50" ht="15"/>
    <row r="51" ht="15"/>
    <row r="52" ht="15"/>
    <row r="53" ht="15"/>
    <row r="54" ht="15"/>
    <row r="55" ht="15"/>
    <row r="56" ht="15"/>
    <row r="57" ht="15"/>
    <row r="58" ht="15"/>
    <row r="59" ht="15"/>
    <row r="60" ht="15"/>
    <row r="61" ht="15"/>
    <row r="62" ht="15"/>
    <row r="63" ht="15"/>
    <row r="64" ht="15"/>
    <row r="65" spans="2:41" ht="15">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1"/>
      <c r="AF65" s="42"/>
      <c r="AG65" s="40"/>
      <c r="AH65" s="40"/>
      <c r="AI65" s="40"/>
      <c r="AJ65" s="40"/>
      <c r="AK65" s="40"/>
      <c r="AL65" s="40"/>
      <c r="AM65" s="40"/>
      <c r="AN65" s="40"/>
      <c r="AO65" s="40"/>
    </row>
    <row r="66" spans="2:41" ht="15"/>
    <row r="67" spans="2:41" ht="15">
      <c r="D67" s="727" t="str">
        <f>"&lt; "&amp;'Translate&amp;Prices&amp;Logo'!$B$576&amp;" -- "&amp;Ram_3!$A$2</f>
        <v>&lt; Powrót -- Ramka  3</v>
      </c>
      <c r="E67" s="727"/>
      <c r="F67" s="727"/>
      <c r="G67" s="727"/>
      <c r="H67" s="727"/>
    </row>
    <row r="68" spans="2:41" ht="15"/>
    <row r="69" spans="2:41" ht="15"/>
    <row r="70" spans="2:41" ht="15"/>
    <row r="71" spans="2:41" ht="15"/>
    <row r="72" spans="2:41" ht="15"/>
    <row r="73" spans="2:41" ht="15"/>
    <row r="74" spans="2:41" ht="15"/>
    <row r="75" spans="2:41" ht="15"/>
    <row r="76" spans="2:41" ht="15"/>
    <row r="77" spans="2:41" ht="15"/>
    <row r="78" spans="2:41" ht="15"/>
    <row r="79" spans="2:41" ht="15"/>
    <row r="80" spans="2:41" ht="15"/>
    <row r="81" spans="2:41" ht="15"/>
    <row r="82" spans="2:41" ht="15"/>
    <row r="83" spans="2:41" ht="15"/>
    <row r="84" spans="2:41" ht="15"/>
    <row r="85" spans="2:41" ht="15"/>
    <row r="86" spans="2:41" ht="15"/>
    <row r="87" spans="2:41" ht="15"/>
    <row r="88" spans="2:41" ht="15"/>
    <row r="89" spans="2:41" ht="15"/>
    <row r="90" spans="2:41" ht="15"/>
    <row r="91" spans="2:41" ht="15"/>
    <row r="92" spans="2:41" ht="1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1"/>
      <c r="AF92" s="42"/>
      <c r="AG92" s="40"/>
      <c r="AH92" s="40"/>
      <c r="AI92" s="40"/>
      <c r="AJ92" s="40"/>
      <c r="AK92" s="40"/>
      <c r="AL92" s="40"/>
      <c r="AM92" s="40"/>
      <c r="AN92" s="40"/>
      <c r="AO92" s="40"/>
    </row>
    <row r="93" spans="2:41" ht="14.85" customHeight="1"/>
    <row r="94" spans="2:41" ht="14.85" customHeight="1">
      <c r="D94" s="727" t="str">
        <f>"&lt; "&amp;'Translate&amp;Prices&amp;Logo'!$B$576&amp;" -- "&amp;Ram_4!$A$2</f>
        <v>&lt; Powrót -- Ramka  4</v>
      </c>
      <c r="E94" s="727"/>
      <c r="F94" s="727"/>
      <c r="G94" s="727"/>
      <c r="H94" s="727"/>
    </row>
    <row r="95" spans="2:41" ht="14.85" customHeight="1"/>
    <row r="96" spans="2:41"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spans="2:41" ht="14.85" customHeight="1"/>
    <row r="114" spans="2:41" ht="14.85" customHeight="1"/>
    <row r="115" spans="2:41" ht="14.85" customHeight="1"/>
    <row r="116" spans="2:41" ht="14.85" customHeight="1"/>
    <row r="117" spans="2:41" ht="14.85" customHeight="1"/>
    <row r="118" spans="2:41" ht="14.85" customHeight="1"/>
    <row r="119" spans="2:41" ht="14.85" customHeight="1">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1"/>
      <c r="AF119" s="42"/>
      <c r="AG119" s="40"/>
      <c r="AH119" s="40"/>
      <c r="AI119" s="40"/>
      <c r="AJ119" s="40"/>
      <c r="AK119" s="40"/>
      <c r="AL119" s="40"/>
      <c r="AM119" s="40"/>
      <c r="AN119" s="40"/>
      <c r="AO119" s="40"/>
    </row>
    <row r="120" spans="2:41" ht="14.85" customHeight="1"/>
    <row r="121" spans="2:41" ht="14.85" customHeight="1">
      <c r="D121" s="727" t="str">
        <f>"&lt; "&amp;'Translate&amp;Prices&amp;Logo'!$B$576&amp;" -- "&amp;Ram_5!$A$2</f>
        <v>&lt; Powrót -- Ramka  5</v>
      </c>
      <c r="E121" s="727"/>
      <c r="F121" s="727"/>
      <c r="G121" s="727"/>
      <c r="H121" s="727"/>
    </row>
    <row r="122" spans="2:41" ht="14.85" customHeight="1"/>
    <row r="123" spans="2:41" ht="14.85" customHeight="1"/>
    <row r="124" spans="2:41" ht="14.85" customHeight="1"/>
    <row r="125" spans="2:41" ht="14.85" customHeight="1"/>
    <row r="126" spans="2:41" ht="14.85" customHeight="1"/>
    <row r="127" spans="2:41" ht="14.85" customHeight="1"/>
    <row r="128" spans="2:41"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spans="2:41" ht="14.85" customHeight="1"/>
    <row r="146" spans="2:41" ht="14.85" customHeight="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1"/>
      <c r="AF146" s="42"/>
      <c r="AG146" s="40"/>
      <c r="AH146" s="40"/>
      <c r="AI146" s="40"/>
      <c r="AJ146" s="40"/>
      <c r="AK146" s="40"/>
      <c r="AL146" s="40"/>
      <c r="AM146" s="40"/>
      <c r="AN146" s="40"/>
      <c r="AO146" s="40"/>
    </row>
    <row r="147" spans="2:41" ht="14.85" customHeight="1"/>
    <row r="148" spans="2:41" ht="14.85" customHeight="1">
      <c r="D148" s="727" t="str">
        <f>"&lt; "&amp;'Translate&amp;Prices&amp;Logo'!$B$576&amp;" -- "&amp;Ram_6!$A$2</f>
        <v>&lt; Powrót -- Ramka  6</v>
      </c>
      <c r="E148" s="727"/>
      <c r="F148" s="727"/>
      <c r="G148" s="727"/>
      <c r="H148" s="727"/>
    </row>
    <row r="149" spans="2:41" ht="14.85" customHeight="1"/>
    <row r="150" spans="2:41" ht="14.85" customHeight="1"/>
    <row r="151" spans="2:41" ht="14.85" customHeight="1"/>
    <row r="152" spans="2:41" ht="14.85" customHeight="1"/>
    <row r="153" spans="2:41" ht="14.85" customHeight="1"/>
    <row r="154" spans="2:41" ht="14.85" customHeight="1"/>
    <row r="155" spans="2:41" ht="14.85" customHeight="1"/>
    <row r="156" spans="2:41" ht="14.85" customHeight="1"/>
    <row r="157" spans="2:41" ht="14.85" customHeight="1"/>
    <row r="158" spans="2:41" ht="14.85" customHeight="1"/>
    <row r="159" spans="2:41" ht="14.85" customHeight="1"/>
    <row r="160" spans="2:41" ht="14.85" customHeight="1"/>
    <row r="161" spans="2:41" ht="14.85" customHeight="1"/>
    <row r="162" spans="2:41" ht="14.85" customHeight="1"/>
    <row r="163" spans="2:41" ht="14.85" customHeight="1"/>
    <row r="164" spans="2:41" ht="14.85" customHeight="1"/>
    <row r="165" spans="2:41" ht="14.85" customHeight="1"/>
    <row r="166" spans="2:41" ht="14.85" customHeight="1"/>
    <row r="167" spans="2:41" ht="14.85" customHeight="1"/>
    <row r="168" spans="2:41" ht="14.85" customHeight="1"/>
    <row r="169" spans="2:41" ht="14.85" customHeight="1"/>
    <row r="170" spans="2:41" ht="14.85" customHeight="1"/>
    <row r="171" spans="2:41" ht="14.85" customHeight="1"/>
    <row r="172" spans="2:41" ht="14.85" customHeight="1"/>
    <row r="173" spans="2:41" ht="14.85" customHeight="1">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1"/>
      <c r="AF173" s="42"/>
      <c r="AG173" s="40"/>
      <c r="AH173" s="40"/>
      <c r="AI173" s="40"/>
      <c r="AJ173" s="40"/>
      <c r="AK173" s="40"/>
      <c r="AL173" s="40"/>
      <c r="AM173" s="40"/>
      <c r="AN173" s="40"/>
      <c r="AO173" s="40"/>
    </row>
    <row r="174" spans="2:41" ht="14.85" customHeight="1"/>
    <row r="175" spans="2:41" ht="32.85" customHeight="1">
      <c r="J175" s="121"/>
      <c r="K175" s="121"/>
      <c r="L175" s="121"/>
      <c r="M175" s="121"/>
      <c r="N175" s="121"/>
      <c r="O175" s="121"/>
      <c r="P175" s="121"/>
      <c r="Q175" s="121"/>
      <c r="R175" s="121"/>
      <c r="S175" s="121"/>
      <c r="T175" s="121"/>
      <c r="U175" s="121"/>
      <c r="V175" s="121"/>
      <c r="W175" s="121"/>
      <c r="X175" s="121"/>
      <c r="Y175" s="121"/>
      <c r="Z175" s="9"/>
      <c r="AA175" s="136"/>
      <c r="AB175" s="136"/>
      <c r="AC175" s="136"/>
      <c r="AD175" s="136"/>
      <c r="AE175" s="136"/>
      <c r="AF175" s="136"/>
      <c r="AG175" s="136"/>
      <c r="AH175" s="136"/>
      <c r="AI175" s="136"/>
      <c r="AJ175" s="136"/>
      <c r="AK175" s="136"/>
      <c r="AL175" s="136"/>
      <c r="AM175" s="136"/>
    </row>
    <row r="176" spans="2:41" ht="14.85" customHeight="1"/>
    <row r="177" ht="14.85" customHeight="1"/>
    <row r="178" ht="14.85" customHeight="1"/>
  </sheetData>
  <sheetProtection algorithmName="SHA-512" hashValue="pFORqP0c2kft0z8pm9g9USJrF8JXjDTDz5qZzWhdKuPjkOg1M2HaoFLGre5J7nFJtSrP3OWn2WP00hT8/yFgZA==" saltValue="5b6UDmHfC22Bf27DXv4flA==" spinCount="100000" sheet="1" objects="1" scenarios="1"/>
  <mergeCells count="29">
    <mergeCell ref="AU19:AU20"/>
    <mergeCell ref="AU16:AU17"/>
    <mergeCell ref="AK11:AM11"/>
    <mergeCell ref="H7:N7"/>
    <mergeCell ref="AB7:AF7"/>
    <mergeCell ref="AH7:AL7"/>
    <mergeCell ref="H9:N9"/>
    <mergeCell ref="AB9:AO10"/>
    <mergeCell ref="AM1:AP1"/>
    <mergeCell ref="AL2:AP3"/>
    <mergeCell ref="Q5:S5"/>
    <mergeCell ref="Q6:S6"/>
    <mergeCell ref="U5:Z5"/>
    <mergeCell ref="U6:Z6"/>
    <mergeCell ref="AB6:AF6"/>
    <mergeCell ref="AH5:AL5"/>
    <mergeCell ref="AH6:AL6"/>
    <mergeCell ref="AO5:AP7"/>
    <mergeCell ref="H5:N5"/>
    <mergeCell ref="H6:N6"/>
    <mergeCell ref="U7:Z7"/>
    <mergeCell ref="D121:H121"/>
    <mergeCell ref="D148:H148"/>
    <mergeCell ref="D13:H13"/>
    <mergeCell ref="D40:H40"/>
    <mergeCell ref="D67:H67"/>
    <mergeCell ref="D94:H94"/>
    <mergeCell ref="B9:F9"/>
    <mergeCell ref="U8:Z8"/>
  </mergeCells>
  <phoneticPr fontId="15" type="noConversion"/>
  <conditionalFormatting sqref="Q5:Z5">
    <cfRule type="expression" dxfId="137" priority="6">
      <formula>$AU$9=2</formula>
    </cfRule>
  </conditionalFormatting>
  <conditionalFormatting sqref="Q6:AM8">
    <cfRule type="expression" dxfId="136" priority="3">
      <formula>$AU$10=2</formula>
    </cfRule>
  </conditionalFormatting>
  <hyperlinks>
    <hyperlink ref="D13:H13" location="Ram_1!H8" display="Ram_1!H8" xr:uid="{D68FF964-65D5-4DF8-BB19-6E4611C7C298}"/>
    <hyperlink ref="AL2:AO3" location="Hlavní!A1" display="Hlavní!A1" xr:uid="{9E78D769-C235-4371-AE7A-D533C59D2D23}"/>
    <hyperlink ref="D40:H40" location="Ram_2!H8" display="Ram_2!H8" xr:uid="{B2B6E23E-98E1-4A74-A4CC-287AF17859A8}"/>
    <hyperlink ref="D67:H67" location="Ram_3!H8" display="Ram_3!H8" xr:uid="{27F39622-A6EB-444A-8664-AB9AA9E8B35A}"/>
    <hyperlink ref="D94:H94" location="Ram_4!H8" display="Ram_4!H8" xr:uid="{C1B191D4-0306-4C82-9C1A-25094FF04AE6}"/>
    <hyperlink ref="D121:H121" location="Ram_5!H8" display="Ram_5!H8" xr:uid="{E1894653-1B92-4B0F-B555-612DD37C8B8B}"/>
    <hyperlink ref="D148:H148" location="Ram_6!H8" display="Ram_6!H8" xr:uid="{A7FB2F7E-A023-4419-8967-6071ED00C37A}"/>
    <hyperlink ref="AO5:AP7" location="'cennik transportu PL'!A1" display="'cennik transportu PL'!A1" xr:uid="{31E73882-73F1-4F60-9AED-7DD55DDDE670}"/>
    <hyperlink ref="AL2:AP3" location="Hlavní!A1" display="Hlavní!A1" xr:uid="{7C022376-6675-4BD2-B924-520BBC522039}"/>
  </hyperlinks>
  <pageMargins left="0.7" right="0.7" top="0.78740157499999996" bottom="0.78740157499999996" header="0.3" footer="0.3"/>
  <pageSetup paperSize="9" scale="70" fitToHeight="6" orientation="landscape" verticalDpi="300" r:id="rId1"/>
  <rowBreaks count="5" manualBreakCount="5">
    <brk id="38" max="41" man="1"/>
    <brk id="65" max="41" man="1"/>
    <brk id="92" max="41" man="1"/>
    <brk id="119" max="41" man="1"/>
    <brk id="146" max="41"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F5EA-3DED-4211-A689-5804FC89909E}">
  <sheetPr codeName="List20">
    <tabColor rgb="FF92D050"/>
  </sheetPr>
  <dimension ref="A1:BS129"/>
  <sheetViews>
    <sheetView showGridLines="0" showRowColHeaders="0" workbookViewId="0">
      <selection activeCell="AT2" sqref="AT2:AX3"/>
    </sheetView>
  </sheetViews>
  <sheetFormatPr defaultColWidth="0" defaultRowHeight="16.5" customHeight="1" zeroHeight="1"/>
  <cols>
    <col min="1" max="30" width="4.42578125" style="1" customWidth="1"/>
    <col min="31" max="31" width="4.42578125" style="13" customWidth="1"/>
    <col min="32" max="32" width="4.42578125" style="11" customWidth="1"/>
    <col min="33" max="50" width="4.42578125" style="1" customWidth="1"/>
    <col min="51" max="16384" width="8.5703125" style="1" hidden="1"/>
  </cols>
  <sheetData>
    <row r="1" spans="1:50" ht="15">
      <c r="A1" s="38"/>
      <c r="B1" s="38"/>
      <c r="C1" s="38"/>
      <c r="D1" s="38"/>
      <c r="E1" s="38"/>
      <c r="F1" s="38"/>
      <c r="G1" s="38"/>
      <c r="H1" s="38"/>
      <c r="I1" s="38"/>
      <c r="J1" s="38"/>
      <c r="K1" s="38"/>
      <c r="L1" s="38"/>
      <c r="M1" s="38"/>
      <c r="N1" s="38"/>
      <c r="O1" s="38"/>
      <c r="P1" s="38"/>
      <c r="Q1" s="38"/>
      <c r="R1" s="38"/>
      <c r="S1" s="38"/>
      <c r="T1" s="38"/>
      <c r="U1" s="38"/>
      <c r="V1" s="38"/>
      <c r="AP1" s="38"/>
      <c r="AQ1" s="38"/>
      <c r="AR1" s="38"/>
      <c r="AS1" s="38"/>
      <c r="AT1" s="38"/>
      <c r="AU1" s="38"/>
      <c r="AV1" s="38"/>
      <c r="AW1" s="38"/>
      <c r="AX1" s="38"/>
    </row>
    <row r="2" spans="1:50" ht="15.7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15"/>
      <c r="AO2" s="15"/>
      <c r="AP2" s="15"/>
      <c r="AQ2" s="15"/>
      <c r="AR2" s="15"/>
      <c r="AS2" s="39"/>
      <c r="AT2" s="736" t="str">
        <f>'Translate&amp;Prices&amp;Logo'!$B$542</f>
        <v>Wprowadzenie</v>
      </c>
      <c r="AU2" s="736"/>
      <c r="AV2" s="736"/>
      <c r="AW2" s="736"/>
      <c r="AX2" s="736"/>
    </row>
    <row r="3" spans="1:50" ht="15.7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15"/>
      <c r="AM3" s="15"/>
      <c r="AN3" s="15"/>
      <c r="AO3" s="15"/>
      <c r="AP3" s="15"/>
      <c r="AQ3" s="15"/>
      <c r="AR3" s="15"/>
      <c r="AS3" s="39"/>
      <c r="AT3" s="736"/>
      <c r="AU3" s="736"/>
      <c r="AV3" s="736"/>
      <c r="AW3" s="736"/>
      <c r="AX3" s="736"/>
    </row>
    <row r="4" spans="1:50" ht="6.6" customHeight="1">
      <c r="A4" s="38"/>
      <c r="B4" s="38"/>
      <c r="C4" s="38"/>
      <c r="D4" s="38"/>
      <c r="E4" s="38"/>
      <c r="F4" s="38"/>
      <c r="G4" s="38"/>
      <c r="H4" s="38"/>
      <c r="I4" s="38"/>
      <c r="P4" s="741"/>
      <c r="Q4" s="741"/>
      <c r="R4" s="741"/>
      <c r="S4" s="741"/>
      <c r="T4" s="741"/>
      <c r="U4" s="741"/>
      <c r="V4" s="741"/>
      <c r="W4" s="741"/>
      <c r="X4" s="741"/>
      <c r="Y4" s="741"/>
      <c r="Z4" s="741"/>
      <c r="AA4" s="741"/>
      <c r="AB4" s="741"/>
      <c r="AC4" s="741"/>
      <c r="AD4" s="741"/>
      <c r="AP4" s="38"/>
      <c r="AQ4" s="38"/>
      <c r="AR4" s="38"/>
      <c r="AS4" s="38"/>
      <c r="AT4" s="38"/>
      <c r="AU4" s="38"/>
      <c r="AV4" s="38"/>
      <c r="AW4" s="38"/>
    </row>
    <row r="5" spans="1:50" ht="15" customHeight="1">
      <c r="A5" s="38"/>
      <c r="B5" s="38"/>
      <c r="C5" s="38"/>
      <c r="D5" s="38"/>
      <c r="E5" s="38"/>
      <c r="F5" s="38"/>
      <c r="G5" s="38"/>
      <c r="H5" s="38"/>
      <c r="I5" s="38"/>
      <c r="P5" s="741"/>
      <c r="Q5" s="741"/>
      <c r="R5" s="741"/>
      <c r="S5" s="741"/>
      <c r="T5" s="741"/>
      <c r="U5" s="741"/>
      <c r="V5" s="741"/>
      <c r="W5" s="741"/>
      <c r="X5" s="741"/>
      <c r="Y5" s="741"/>
      <c r="Z5" s="741"/>
      <c r="AA5" s="741"/>
      <c r="AB5" s="741"/>
      <c r="AC5" s="741"/>
      <c r="AD5" s="741"/>
      <c r="AP5" s="38"/>
      <c r="AQ5" s="38"/>
      <c r="AR5" s="38"/>
      <c r="AS5" s="38"/>
      <c r="AT5" s="38"/>
      <c r="AU5" s="38"/>
      <c r="AV5" s="38"/>
      <c r="AW5" s="38"/>
    </row>
    <row r="6" spans="1:50" ht="15">
      <c r="A6" s="38"/>
      <c r="B6" s="38"/>
      <c r="C6" s="38"/>
      <c r="D6" s="38"/>
      <c r="E6" s="38"/>
      <c r="F6" s="38"/>
      <c r="G6" s="38"/>
      <c r="H6" s="38"/>
      <c r="I6" s="38"/>
      <c r="J6" s="38"/>
      <c r="K6" s="38"/>
      <c r="L6" s="38"/>
      <c r="M6" s="38"/>
      <c r="N6" s="38"/>
      <c r="O6" s="38"/>
      <c r="P6" s="38"/>
      <c r="Q6" s="38"/>
      <c r="R6" s="38"/>
      <c r="S6" s="38"/>
      <c r="T6" s="38"/>
      <c r="U6" s="38"/>
      <c r="V6" s="38"/>
      <c r="AP6" s="38"/>
      <c r="AQ6" s="38"/>
      <c r="AR6" s="38"/>
      <c r="AS6" s="38"/>
      <c r="AT6" s="38"/>
      <c r="AU6" s="38"/>
      <c r="AV6" s="38"/>
      <c r="AW6" s="38"/>
      <c r="AX6" s="38"/>
    </row>
    <row r="7" spans="1:50" ht="14.85" customHeight="1"/>
    <row r="8" spans="1:50" ht="14.85" customHeight="1"/>
    <row r="9" spans="1:50" ht="14.85" customHeight="1"/>
    <row r="10" spans="1:50" s="20" customFormat="1" ht="14.85" customHeight="1"/>
    <row r="11" spans="1:50" ht="14.85" customHeight="1"/>
    <row r="12" spans="1:50" ht="14.85" customHeight="1"/>
    <row r="13" spans="1:50" ht="14.85" customHeight="1"/>
    <row r="14" spans="1:50" ht="14.85" customHeight="1"/>
    <row r="15" spans="1:50" ht="14.85" customHeight="1"/>
    <row r="16" spans="1:50" s="20" customFormat="1" ht="14.85" customHeight="1"/>
    <row r="17" spans="2:50" ht="14.85" customHeight="1"/>
    <row r="18" spans="2:50" ht="14.85" customHeight="1"/>
    <row r="19" spans="2:50" ht="14.85" customHeight="1"/>
    <row r="20" spans="2:50" ht="14.85" customHeight="1"/>
    <row r="21" spans="2:50" ht="14.85" customHeight="1"/>
    <row r="22" spans="2:50" ht="14.85" customHeight="1"/>
    <row r="23" spans="2:50" ht="14.85" customHeight="1"/>
    <row r="24" spans="2:50" ht="14.85" customHeight="1">
      <c r="AE24" s="1"/>
      <c r="AF24" s="1"/>
    </row>
    <row r="25" spans="2:50" s="20" customFormat="1" ht="14.85" customHeight="1"/>
    <row r="26" spans="2:50" ht="14.85" customHeight="1"/>
    <row r="27" spans="2:50" ht="14.85" customHeight="1"/>
    <row r="28" spans="2:50" ht="14.85" customHeight="1"/>
    <row r="29" spans="2:50" s="20" customFormat="1" ht="12">
      <c r="AQ29" s="742"/>
      <c r="AR29" s="742"/>
      <c r="AS29" s="742"/>
    </row>
    <row r="30" spans="2:50" ht="17.100000000000001" customHeight="1">
      <c r="B30" s="737" t="s">
        <v>150</v>
      </c>
      <c r="C30" s="737"/>
      <c r="D30" s="737"/>
      <c r="E30" s="737"/>
      <c r="F30" s="737"/>
      <c r="G30" s="737"/>
      <c r="H30" s="737"/>
      <c r="I30" s="737"/>
      <c r="J30" s="737"/>
      <c r="K30" s="737"/>
      <c r="L30" s="737"/>
      <c r="M30" s="737"/>
      <c r="N30" s="737"/>
      <c r="O30" s="737"/>
      <c r="P30" s="737"/>
      <c r="Q30" s="737"/>
      <c r="R30" s="737"/>
      <c r="S30" s="737"/>
      <c r="T30" s="737"/>
      <c r="U30" s="737"/>
      <c r="V30" s="737"/>
      <c r="W30" s="737"/>
      <c r="X30" s="737"/>
      <c r="Y30" s="737"/>
      <c r="Z30" s="737"/>
      <c r="AA30" s="737"/>
      <c r="AB30" s="737"/>
      <c r="AC30" s="737"/>
      <c r="AD30" s="737"/>
      <c r="AE30" s="737"/>
      <c r="AF30" s="737"/>
      <c r="AG30" s="737"/>
      <c r="AH30" s="737"/>
      <c r="AI30" s="737"/>
      <c r="AJ30" s="737"/>
      <c r="AK30" s="737"/>
      <c r="AL30" s="737"/>
      <c r="AM30" s="737"/>
      <c r="AN30" s="737"/>
      <c r="AO30" s="737"/>
      <c r="AP30" s="737"/>
      <c r="AQ30" s="737"/>
      <c r="AR30" s="737"/>
      <c r="AS30" s="737"/>
      <c r="AT30" s="737"/>
      <c r="AU30" s="737"/>
      <c r="AV30" s="737"/>
      <c r="AW30" s="737"/>
      <c r="AX30" s="737"/>
    </row>
    <row r="31" spans="2:50" ht="15"/>
    <row r="32" spans="2:50" ht="15">
      <c r="B32" s="20"/>
      <c r="C32" s="740" t="s">
        <v>139</v>
      </c>
      <c r="D32" s="740"/>
      <c r="E32" s="740"/>
      <c r="F32" s="740"/>
      <c r="G32" s="740"/>
      <c r="H32" s="161"/>
      <c r="I32" s="740" t="s">
        <v>140</v>
      </c>
      <c r="J32" s="740"/>
      <c r="K32" s="740"/>
      <c r="L32" s="740"/>
      <c r="M32" s="740"/>
      <c r="N32" s="161"/>
      <c r="O32" s="740" t="s">
        <v>127</v>
      </c>
      <c r="P32" s="740"/>
      <c r="Q32" s="740"/>
      <c r="R32" s="740"/>
      <c r="S32" s="740"/>
      <c r="T32" s="161"/>
      <c r="U32" s="740" t="s">
        <v>129</v>
      </c>
      <c r="V32" s="740"/>
      <c r="W32" s="740"/>
      <c r="X32" s="740"/>
      <c r="Y32" s="740"/>
      <c r="Z32" s="161"/>
      <c r="AA32" s="740" t="s">
        <v>2186</v>
      </c>
      <c r="AB32" s="740"/>
      <c r="AC32" s="740"/>
      <c r="AD32" s="740"/>
      <c r="AE32" s="740"/>
      <c r="AF32" s="161"/>
      <c r="AG32" s="740" t="s">
        <v>137</v>
      </c>
      <c r="AH32" s="740"/>
      <c r="AI32" s="740"/>
      <c r="AJ32" s="740"/>
      <c r="AK32" s="740"/>
      <c r="AL32" s="161"/>
      <c r="AM32" s="740" t="s">
        <v>138</v>
      </c>
      <c r="AN32" s="740"/>
      <c r="AO32" s="740"/>
      <c r="AP32" s="740"/>
      <c r="AQ32" s="740"/>
      <c r="AR32" s="161"/>
      <c r="AS32" s="740" t="s">
        <v>142</v>
      </c>
      <c r="AT32" s="740"/>
      <c r="AU32" s="740"/>
      <c r="AV32" s="740"/>
      <c r="AW32" s="740"/>
      <c r="AX32" s="20"/>
    </row>
    <row r="33" spans="2:71" ht="8.85" customHeight="1">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row>
    <row r="34" spans="2:71" ht="15">
      <c r="C34" s="723"/>
      <c r="D34" s="723"/>
      <c r="E34" s="723"/>
      <c r="F34" s="723"/>
      <c r="G34" s="723"/>
      <c r="H34" s="160"/>
      <c r="I34" s="723"/>
      <c r="J34" s="723"/>
      <c r="K34" s="723"/>
      <c r="L34" s="723"/>
      <c r="M34" s="723"/>
      <c r="N34" s="160"/>
      <c r="O34" s="723"/>
      <c r="P34" s="723"/>
      <c r="Q34" s="723"/>
      <c r="R34" s="723"/>
      <c r="S34" s="723"/>
      <c r="T34" s="160"/>
      <c r="U34" s="723"/>
      <c r="V34" s="723"/>
      <c r="W34" s="723"/>
      <c r="X34" s="723"/>
      <c r="Y34" s="723"/>
      <c r="Z34" s="160"/>
      <c r="AA34" s="723"/>
      <c r="AB34" s="723"/>
      <c r="AC34" s="723"/>
      <c r="AD34" s="723"/>
      <c r="AE34" s="723"/>
      <c r="AF34" s="160"/>
      <c r="AG34" s="723"/>
      <c r="AH34" s="723"/>
      <c r="AI34" s="723"/>
      <c r="AJ34" s="723"/>
      <c r="AK34" s="723"/>
      <c r="AL34" s="160"/>
      <c r="AM34" s="723"/>
      <c r="AN34" s="723"/>
      <c r="AO34" s="723"/>
      <c r="AP34" s="723"/>
      <c r="AQ34" s="723"/>
      <c r="AR34" s="160"/>
      <c r="AS34" s="723"/>
      <c r="AT34" s="723"/>
      <c r="AU34" s="723"/>
      <c r="AV34" s="723"/>
      <c r="AW34" s="723"/>
    </row>
    <row r="35" spans="2:71" ht="14.85" customHeight="1">
      <c r="C35" s="723"/>
      <c r="D35" s="723"/>
      <c r="E35" s="723"/>
      <c r="F35" s="723"/>
      <c r="G35" s="723"/>
      <c r="H35" s="160"/>
      <c r="I35" s="723"/>
      <c r="J35" s="723"/>
      <c r="K35" s="723"/>
      <c r="L35" s="723"/>
      <c r="M35" s="723"/>
      <c r="N35" s="160"/>
      <c r="O35" s="723"/>
      <c r="P35" s="723"/>
      <c r="Q35" s="723"/>
      <c r="R35" s="723"/>
      <c r="S35" s="723"/>
      <c r="T35" s="160"/>
      <c r="U35" s="723"/>
      <c r="V35" s="723"/>
      <c r="W35" s="723"/>
      <c r="X35" s="723"/>
      <c r="Y35" s="723"/>
      <c r="Z35" s="160"/>
      <c r="AA35" s="723"/>
      <c r="AB35" s="723"/>
      <c r="AC35" s="723"/>
      <c r="AD35" s="723"/>
      <c r="AE35" s="723"/>
      <c r="AF35" s="160"/>
      <c r="AG35" s="723"/>
      <c r="AH35" s="723"/>
      <c r="AI35" s="723"/>
      <c r="AJ35" s="723"/>
      <c r="AK35" s="723"/>
      <c r="AL35" s="160"/>
      <c r="AM35" s="723"/>
      <c r="AN35" s="723"/>
      <c r="AO35" s="723"/>
      <c r="AP35" s="723"/>
      <c r="AQ35" s="723"/>
      <c r="AR35" s="160"/>
      <c r="AS35" s="723"/>
      <c r="AT35" s="723"/>
      <c r="AU35" s="723"/>
      <c r="AV35" s="723"/>
      <c r="AW35" s="723"/>
    </row>
    <row r="36" spans="2:71" ht="14.85" customHeight="1">
      <c r="C36" s="723"/>
      <c r="D36" s="723"/>
      <c r="E36" s="723"/>
      <c r="F36" s="723"/>
      <c r="G36" s="723"/>
      <c r="H36" s="160"/>
      <c r="I36" s="723"/>
      <c r="J36" s="723"/>
      <c r="K36" s="723"/>
      <c r="L36" s="723"/>
      <c r="M36" s="723"/>
      <c r="N36" s="160"/>
      <c r="O36" s="723"/>
      <c r="P36" s="723"/>
      <c r="Q36" s="723"/>
      <c r="R36" s="723"/>
      <c r="S36" s="723"/>
      <c r="T36" s="160"/>
      <c r="U36" s="723"/>
      <c r="V36" s="723"/>
      <c r="W36" s="723"/>
      <c r="X36" s="723"/>
      <c r="Y36" s="723"/>
      <c r="Z36" s="160"/>
      <c r="AA36" s="723"/>
      <c r="AB36" s="723"/>
      <c r="AC36" s="723"/>
      <c r="AD36" s="723"/>
      <c r="AE36" s="723"/>
      <c r="AF36" s="160"/>
      <c r="AG36" s="723"/>
      <c r="AH36" s="723"/>
      <c r="AI36" s="723"/>
      <c r="AJ36" s="723"/>
      <c r="AK36" s="723"/>
      <c r="AL36" s="160"/>
      <c r="AM36" s="723"/>
      <c r="AN36" s="723"/>
      <c r="AO36" s="723"/>
      <c r="AP36" s="723"/>
      <c r="AQ36" s="723"/>
      <c r="AR36" s="160"/>
      <c r="AS36" s="723"/>
      <c r="AT36" s="723"/>
      <c r="AU36" s="723"/>
      <c r="AV36" s="723"/>
      <c r="AW36" s="723"/>
    </row>
    <row r="37" spans="2:71" ht="14.85" customHeight="1">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2"/>
      <c r="AF37" s="163"/>
      <c r="AG37" s="160"/>
      <c r="AH37" s="160"/>
      <c r="AI37" s="160"/>
      <c r="AJ37" s="160"/>
      <c r="AK37" s="160"/>
      <c r="AL37" s="160"/>
      <c r="AM37" s="160"/>
      <c r="AN37" s="160"/>
      <c r="AO37" s="160"/>
      <c r="AP37" s="160"/>
      <c r="AQ37" s="160"/>
      <c r="AR37" s="160"/>
      <c r="AS37" s="160"/>
      <c r="AT37" s="160"/>
      <c r="AU37" s="160"/>
      <c r="AV37" s="160"/>
      <c r="AW37" s="160"/>
      <c r="BC37" s="738" t="str">
        <f>'Translate&amp;Prices&amp;Logo'!$B$259</f>
        <v>Podgląd kolorów RAL i REF jest orientacyjny !!!</v>
      </c>
      <c r="BD37" s="738"/>
      <c r="BE37" s="738"/>
      <c r="BF37" s="738"/>
      <c r="BG37" s="738"/>
      <c r="BH37" s="738"/>
      <c r="BI37" s="738"/>
      <c r="BJ37" s="738"/>
      <c r="BK37" s="738"/>
      <c r="BL37" s="738"/>
      <c r="BM37" s="738"/>
      <c r="BN37" s="738"/>
      <c r="BO37" s="738"/>
      <c r="BP37" s="738"/>
      <c r="BQ37" s="738"/>
      <c r="BR37" s="738"/>
      <c r="BS37" s="738"/>
    </row>
    <row r="38" spans="2:71" ht="14.85" customHeight="1">
      <c r="B38" s="20"/>
      <c r="C38" s="740" t="s">
        <v>130</v>
      </c>
      <c r="D38" s="740"/>
      <c r="E38" s="740"/>
      <c r="F38" s="740"/>
      <c r="G38" s="740"/>
      <c r="H38" s="161"/>
      <c r="I38" s="740" t="s">
        <v>131</v>
      </c>
      <c r="J38" s="740"/>
      <c r="K38" s="740"/>
      <c r="L38" s="740"/>
      <c r="M38" s="740"/>
      <c r="N38" s="161"/>
      <c r="O38" s="740" t="s">
        <v>134</v>
      </c>
      <c r="P38" s="740"/>
      <c r="Q38" s="740"/>
      <c r="R38" s="740"/>
      <c r="S38" s="740"/>
      <c r="T38" s="161"/>
      <c r="U38" s="740" t="s">
        <v>136</v>
      </c>
      <c r="V38" s="740"/>
      <c r="W38" s="740"/>
      <c r="X38" s="740"/>
      <c r="Y38" s="740"/>
      <c r="Z38" s="161"/>
      <c r="AA38" s="740" t="s">
        <v>133</v>
      </c>
      <c r="AB38" s="740"/>
      <c r="AC38" s="740"/>
      <c r="AD38" s="740"/>
      <c r="AE38" s="740"/>
      <c r="AF38" s="161"/>
      <c r="AG38" s="740" t="s">
        <v>141</v>
      </c>
      <c r="AH38" s="740"/>
      <c r="AI38" s="740"/>
      <c r="AJ38" s="740"/>
      <c r="AK38" s="740"/>
      <c r="AL38" s="161"/>
      <c r="AM38" s="740" t="s">
        <v>2187</v>
      </c>
      <c r="AN38" s="740"/>
      <c r="AO38" s="740"/>
      <c r="AP38" s="740"/>
      <c r="AQ38" s="740"/>
      <c r="AR38" s="161"/>
      <c r="AS38" s="740" t="s">
        <v>2188</v>
      </c>
      <c r="AT38" s="740"/>
      <c r="AU38" s="740"/>
      <c r="AV38" s="740"/>
      <c r="AW38" s="740"/>
      <c r="AX38" s="20"/>
      <c r="BC38" s="739" t="str">
        <f>'Translate&amp;Prices&amp;Logo'!$B$331</f>
        <v>Wzornik szkieł można zamawiać pod kodami Lacebel VZK003P oraz Matelac VZK004P.</v>
      </c>
      <c r="BD38" s="739"/>
      <c r="BE38" s="739"/>
      <c r="BF38" s="739"/>
      <c r="BG38" s="739"/>
      <c r="BH38" s="739"/>
      <c r="BI38" s="739"/>
      <c r="BJ38" s="739"/>
      <c r="BK38" s="739"/>
      <c r="BL38" s="739"/>
      <c r="BM38" s="739"/>
      <c r="BN38" s="739"/>
      <c r="BO38" s="739"/>
      <c r="BP38" s="739"/>
      <c r="BQ38" s="739"/>
      <c r="BR38" s="739"/>
      <c r="BS38" s="739"/>
    </row>
    <row r="39" spans="2:71" ht="8.85" customHeigh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row>
    <row r="40" spans="2:71" ht="15">
      <c r="C40" s="723"/>
      <c r="D40" s="723"/>
      <c r="E40" s="723"/>
      <c r="F40" s="723"/>
      <c r="G40" s="723"/>
      <c r="H40" s="160"/>
      <c r="I40" s="723"/>
      <c r="J40" s="723"/>
      <c r="K40" s="723"/>
      <c r="L40" s="723"/>
      <c r="M40" s="723"/>
      <c r="N40" s="160"/>
      <c r="O40" s="723"/>
      <c r="P40" s="723"/>
      <c r="Q40" s="723"/>
      <c r="R40" s="723"/>
      <c r="S40" s="723"/>
      <c r="T40" s="160"/>
      <c r="U40" s="723"/>
      <c r="V40" s="723"/>
      <c r="W40" s="723"/>
      <c r="X40" s="723"/>
      <c r="Y40" s="723"/>
      <c r="Z40" s="160"/>
      <c r="AA40" s="723"/>
      <c r="AB40" s="723"/>
      <c r="AC40" s="723"/>
      <c r="AD40" s="723"/>
      <c r="AE40" s="723"/>
      <c r="AF40" s="160"/>
      <c r="AG40" s="723"/>
      <c r="AH40" s="723"/>
      <c r="AI40" s="723"/>
      <c r="AJ40" s="723"/>
      <c r="AK40" s="723"/>
      <c r="AL40" s="160"/>
      <c r="AM40" s="723"/>
      <c r="AN40" s="723"/>
      <c r="AO40" s="723"/>
      <c r="AP40" s="723"/>
      <c r="AQ40" s="723"/>
      <c r="AR40" s="160"/>
      <c r="AS40" s="723"/>
      <c r="AT40" s="723"/>
      <c r="AU40" s="723"/>
      <c r="AV40" s="723"/>
      <c r="AW40" s="723"/>
    </row>
    <row r="41" spans="2:71" ht="14.85" customHeight="1">
      <c r="C41" s="723"/>
      <c r="D41" s="723"/>
      <c r="E41" s="723"/>
      <c r="F41" s="723"/>
      <c r="G41" s="723"/>
      <c r="H41" s="160"/>
      <c r="I41" s="723"/>
      <c r="J41" s="723"/>
      <c r="K41" s="723"/>
      <c r="L41" s="723"/>
      <c r="M41" s="723"/>
      <c r="N41" s="160"/>
      <c r="O41" s="723"/>
      <c r="P41" s="723"/>
      <c r="Q41" s="723"/>
      <c r="R41" s="723"/>
      <c r="S41" s="723"/>
      <c r="T41" s="160"/>
      <c r="U41" s="723"/>
      <c r="V41" s="723"/>
      <c r="W41" s="723"/>
      <c r="X41" s="723"/>
      <c r="Y41" s="723"/>
      <c r="Z41" s="160"/>
      <c r="AA41" s="723"/>
      <c r="AB41" s="723"/>
      <c r="AC41" s="723"/>
      <c r="AD41" s="723"/>
      <c r="AE41" s="723"/>
      <c r="AF41" s="160"/>
      <c r="AG41" s="723"/>
      <c r="AH41" s="723"/>
      <c r="AI41" s="723"/>
      <c r="AJ41" s="723"/>
      <c r="AK41" s="723"/>
      <c r="AL41" s="160"/>
      <c r="AM41" s="723"/>
      <c r="AN41" s="723"/>
      <c r="AO41" s="723"/>
      <c r="AP41" s="723"/>
      <c r="AQ41" s="723"/>
      <c r="AR41" s="160"/>
      <c r="AS41" s="723"/>
      <c r="AT41" s="723"/>
      <c r="AU41" s="723"/>
      <c r="AV41" s="723"/>
      <c r="AW41" s="723"/>
    </row>
    <row r="42" spans="2:71" ht="14.85" customHeight="1">
      <c r="C42" s="723"/>
      <c r="D42" s="723"/>
      <c r="E42" s="723"/>
      <c r="F42" s="723"/>
      <c r="G42" s="723"/>
      <c r="H42" s="160"/>
      <c r="I42" s="723"/>
      <c r="J42" s="723"/>
      <c r="K42" s="723"/>
      <c r="L42" s="723"/>
      <c r="M42" s="723"/>
      <c r="N42" s="160"/>
      <c r="O42" s="723"/>
      <c r="P42" s="723"/>
      <c r="Q42" s="723"/>
      <c r="R42" s="723"/>
      <c r="S42" s="723"/>
      <c r="T42" s="160"/>
      <c r="U42" s="723"/>
      <c r="V42" s="723"/>
      <c r="W42" s="723"/>
      <c r="X42" s="723"/>
      <c r="Y42" s="723"/>
      <c r="Z42" s="160"/>
      <c r="AA42" s="723"/>
      <c r="AB42" s="723"/>
      <c r="AC42" s="723"/>
      <c r="AD42" s="723"/>
      <c r="AE42" s="723"/>
      <c r="AF42" s="160"/>
      <c r="AG42" s="723"/>
      <c r="AH42" s="723"/>
      <c r="AI42" s="723"/>
      <c r="AJ42" s="723"/>
      <c r="AK42" s="723"/>
      <c r="AL42" s="160"/>
      <c r="AM42" s="723"/>
      <c r="AN42" s="723"/>
      <c r="AO42" s="723"/>
      <c r="AP42" s="723"/>
      <c r="AQ42" s="723"/>
      <c r="AR42" s="160"/>
      <c r="AS42" s="723"/>
      <c r="AT42" s="723"/>
      <c r="AU42" s="723"/>
      <c r="AV42" s="723"/>
      <c r="AW42" s="723"/>
    </row>
    <row r="43" spans="2:71" ht="14.85" customHeight="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2"/>
      <c r="AF43" s="163"/>
      <c r="AG43" s="160"/>
      <c r="AH43" s="160"/>
      <c r="AI43" s="160"/>
      <c r="AJ43" s="160"/>
      <c r="AK43" s="160"/>
      <c r="AL43" s="160"/>
      <c r="AM43" s="160"/>
      <c r="AN43" s="160"/>
      <c r="AO43" s="160"/>
      <c r="AP43" s="160"/>
      <c r="AQ43" s="160"/>
      <c r="AR43" s="160"/>
      <c r="AS43" s="160"/>
      <c r="AT43" s="160"/>
      <c r="AU43" s="160"/>
      <c r="AV43" s="160"/>
      <c r="AW43" s="160"/>
      <c r="BC43" s="738"/>
      <c r="BD43" s="738"/>
      <c r="BE43" s="738"/>
      <c r="BF43" s="738"/>
      <c r="BG43" s="738"/>
      <c r="BH43" s="738"/>
      <c r="BI43" s="738"/>
      <c r="BJ43" s="738"/>
      <c r="BK43" s="738"/>
      <c r="BL43" s="738"/>
      <c r="BM43" s="738"/>
      <c r="BN43" s="738"/>
      <c r="BO43" s="738"/>
      <c r="BP43" s="738"/>
      <c r="BQ43" s="738"/>
      <c r="BR43" s="738"/>
      <c r="BS43" s="738"/>
    </row>
    <row r="44" spans="2:71" ht="14.85" customHeight="1">
      <c r="B44" s="20"/>
      <c r="C44" s="740" t="s">
        <v>135</v>
      </c>
      <c r="D44" s="740"/>
      <c r="E44" s="740"/>
      <c r="F44" s="740"/>
      <c r="G44" s="740"/>
      <c r="H44" s="161"/>
      <c r="I44" s="740" t="s">
        <v>132</v>
      </c>
      <c r="J44" s="740"/>
      <c r="K44" s="740"/>
      <c r="L44" s="740"/>
      <c r="M44" s="740"/>
      <c r="N44" s="161"/>
      <c r="O44" s="740" t="s">
        <v>143</v>
      </c>
      <c r="P44" s="740"/>
      <c r="Q44" s="740"/>
      <c r="R44" s="740"/>
      <c r="S44" s="740"/>
      <c r="T44" s="161"/>
      <c r="U44" s="740" t="s">
        <v>2189</v>
      </c>
      <c r="V44" s="740"/>
      <c r="W44" s="740"/>
      <c r="X44" s="740"/>
      <c r="Y44" s="740"/>
      <c r="Z44" s="161"/>
      <c r="AA44" s="740" t="s">
        <v>128</v>
      </c>
      <c r="AB44" s="740"/>
      <c r="AC44" s="740"/>
      <c r="AD44" s="740"/>
      <c r="AE44" s="740"/>
      <c r="AF44" s="161"/>
      <c r="AG44" s="740" t="s">
        <v>2190</v>
      </c>
      <c r="AH44" s="740"/>
      <c r="AI44" s="740"/>
      <c r="AJ44" s="740"/>
      <c r="AK44" s="740"/>
      <c r="AL44" s="161"/>
      <c r="AM44" s="740" t="s">
        <v>2191</v>
      </c>
      <c r="AN44" s="740"/>
      <c r="AO44" s="740"/>
      <c r="AP44" s="740"/>
      <c r="AQ44" s="740"/>
      <c r="AR44" s="161"/>
      <c r="AS44" s="740" t="s">
        <v>2192</v>
      </c>
      <c r="AT44" s="740"/>
      <c r="AU44" s="740"/>
      <c r="AV44" s="740"/>
      <c r="AW44" s="740"/>
      <c r="AX44" s="20"/>
      <c r="BC44" s="739"/>
      <c r="BD44" s="739"/>
      <c r="BE44" s="739"/>
      <c r="BF44" s="739"/>
      <c r="BG44" s="739"/>
      <c r="BH44" s="739"/>
      <c r="BI44" s="739"/>
      <c r="BJ44" s="739"/>
      <c r="BK44" s="739"/>
      <c r="BL44" s="739"/>
      <c r="BM44" s="739"/>
      <c r="BN44" s="739"/>
      <c r="BO44" s="739"/>
      <c r="BP44" s="739"/>
      <c r="BQ44" s="739"/>
      <c r="BR44" s="739"/>
      <c r="BS44" s="739"/>
    </row>
    <row r="45" spans="2:71" ht="8.85" customHeight="1">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row>
    <row r="46" spans="2:71" ht="15">
      <c r="C46" s="723"/>
      <c r="D46" s="723"/>
      <c r="E46" s="723"/>
      <c r="F46" s="723"/>
      <c r="G46" s="723"/>
      <c r="H46" s="160"/>
      <c r="I46" s="723"/>
      <c r="J46" s="723"/>
      <c r="K46" s="723"/>
      <c r="L46" s="723"/>
      <c r="M46" s="723"/>
      <c r="N46" s="160"/>
      <c r="O46" s="723"/>
      <c r="P46" s="723"/>
      <c r="Q46" s="723"/>
      <c r="R46" s="723"/>
      <c r="S46" s="723"/>
      <c r="T46" s="160"/>
      <c r="U46" s="723"/>
      <c r="V46" s="723"/>
      <c r="W46" s="723"/>
      <c r="X46" s="723"/>
      <c r="Y46" s="723"/>
      <c r="Z46" s="160"/>
      <c r="AA46" s="723"/>
      <c r="AB46" s="723"/>
      <c r="AC46" s="723"/>
      <c r="AD46" s="723"/>
      <c r="AE46" s="723"/>
      <c r="AF46" s="160"/>
      <c r="AG46" s="723"/>
      <c r="AH46" s="723"/>
      <c r="AI46" s="723"/>
      <c r="AJ46" s="723"/>
      <c r="AK46" s="723"/>
      <c r="AL46" s="160"/>
      <c r="AM46" s="723"/>
      <c r="AN46" s="723"/>
      <c r="AO46" s="723"/>
      <c r="AP46" s="723"/>
      <c r="AQ46" s="723"/>
      <c r="AR46" s="160"/>
      <c r="AS46" s="723"/>
      <c r="AT46" s="723"/>
      <c r="AU46" s="723"/>
      <c r="AV46" s="723"/>
      <c r="AW46" s="723"/>
    </row>
    <row r="47" spans="2:71" ht="14.85" customHeight="1">
      <c r="C47" s="723"/>
      <c r="D47" s="723"/>
      <c r="E47" s="723"/>
      <c r="F47" s="723"/>
      <c r="G47" s="723"/>
      <c r="H47" s="160"/>
      <c r="I47" s="723"/>
      <c r="J47" s="723"/>
      <c r="K47" s="723"/>
      <c r="L47" s="723"/>
      <c r="M47" s="723"/>
      <c r="N47" s="160"/>
      <c r="O47" s="723"/>
      <c r="P47" s="723"/>
      <c r="Q47" s="723"/>
      <c r="R47" s="723"/>
      <c r="S47" s="723"/>
      <c r="T47" s="160"/>
      <c r="U47" s="723"/>
      <c r="V47" s="723"/>
      <c r="W47" s="723"/>
      <c r="X47" s="723"/>
      <c r="Y47" s="723"/>
      <c r="Z47" s="160"/>
      <c r="AA47" s="723"/>
      <c r="AB47" s="723"/>
      <c r="AC47" s="723"/>
      <c r="AD47" s="723"/>
      <c r="AE47" s="723"/>
      <c r="AF47" s="160"/>
      <c r="AG47" s="723"/>
      <c r="AH47" s="723"/>
      <c r="AI47" s="723"/>
      <c r="AJ47" s="723"/>
      <c r="AK47" s="723"/>
      <c r="AL47" s="160"/>
      <c r="AM47" s="723"/>
      <c r="AN47" s="723"/>
      <c r="AO47" s="723"/>
      <c r="AP47" s="723"/>
      <c r="AQ47" s="723"/>
      <c r="AR47" s="160"/>
      <c r="AS47" s="723"/>
      <c r="AT47" s="723"/>
      <c r="AU47" s="723"/>
      <c r="AV47" s="723"/>
      <c r="AW47" s="723"/>
    </row>
    <row r="48" spans="2:71" ht="14.85" customHeight="1">
      <c r="C48" s="723"/>
      <c r="D48" s="723"/>
      <c r="E48" s="723"/>
      <c r="F48" s="723"/>
      <c r="G48" s="723"/>
      <c r="H48" s="160"/>
      <c r="I48" s="723"/>
      <c r="J48" s="723"/>
      <c r="K48" s="723"/>
      <c r="L48" s="723"/>
      <c r="M48" s="723"/>
      <c r="N48" s="160"/>
      <c r="O48" s="723"/>
      <c r="P48" s="723"/>
      <c r="Q48" s="723"/>
      <c r="R48" s="723"/>
      <c r="S48" s="723"/>
      <c r="T48" s="160"/>
      <c r="U48" s="723"/>
      <c r="V48" s="723"/>
      <c r="W48" s="723"/>
      <c r="X48" s="723"/>
      <c r="Y48" s="723"/>
      <c r="Z48" s="160"/>
      <c r="AA48" s="723"/>
      <c r="AB48" s="723"/>
      <c r="AC48" s="723"/>
      <c r="AD48" s="723"/>
      <c r="AE48" s="723"/>
      <c r="AF48" s="160"/>
      <c r="AG48" s="723"/>
      <c r="AH48" s="723"/>
      <c r="AI48" s="723"/>
      <c r="AJ48" s="723"/>
      <c r="AK48" s="723"/>
      <c r="AL48" s="160"/>
      <c r="AM48" s="723"/>
      <c r="AN48" s="723"/>
      <c r="AO48" s="723"/>
      <c r="AP48" s="723"/>
      <c r="AQ48" s="723"/>
      <c r="AR48" s="160"/>
      <c r="AS48" s="723"/>
      <c r="AT48" s="723"/>
      <c r="AU48" s="723"/>
      <c r="AV48" s="723"/>
      <c r="AW48" s="723"/>
    </row>
    <row r="49" spans="2:71" ht="14.8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2"/>
      <c r="AF49" s="163"/>
      <c r="AG49" s="160"/>
      <c r="AH49" s="160"/>
      <c r="AI49" s="160"/>
      <c r="AJ49" s="160"/>
      <c r="AK49" s="160"/>
      <c r="AL49" s="160"/>
      <c r="AM49" s="160"/>
      <c r="AN49" s="160"/>
      <c r="AO49" s="160"/>
      <c r="AP49" s="160"/>
      <c r="AQ49" s="160"/>
      <c r="AR49" s="160"/>
      <c r="AS49" s="160"/>
      <c r="AT49" s="160"/>
      <c r="AU49" s="160"/>
      <c r="AV49" s="160"/>
      <c r="AW49" s="160"/>
      <c r="BC49" s="738"/>
      <c r="BD49" s="738"/>
      <c r="BE49" s="738"/>
      <c r="BF49" s="738"/>
      <c r="BG49" s="738"/>
      <c r="BH49" s="738"/>
      <c r="BI49" s="738"/>
      <c r="BJ49" s="738"/>
      <c r="BK49" s="738"/>
      <c r="BL49" s="738"/>
      <c r="BM49" s="738"/>
      <c r="BN49" s="738"/>
      <c r="BO49" s="738"/>
      <c r="BP49" s="738"/>
      <c r="BQ49" s="738"/>
      <c r="BR49" s="738"/>
      <c r="BS49" s="738"/>
    </row>
    <row r="50" spans="2:71" ht="14.85" customHeight="1"/>
    <row r="51" spans="2:71" ht="14.85" customHeight="1"/>
    <row r="52" spans="2:71" ht="17.100000000000001" customHeight="1">
      <c r="B52" s="737" t="s">
        <v>151</v>
      </c>
      <c r="C52" s="737"/>
      <c r="D52" s="737"/>
      <c r="E52" s="737"/>
      <c r="F52" s="737"/>
      <c r="G52" s="737"/>
      <c r="H52" s="737"/>
      <c r="I52" s="737"/>
      <c r="J52" s="737"/>
      <c r="K52" s="737"/>
      <c r="L52" s="737"/>
      <c r="M52" s="737"/>
      <c r="N52" s="737"/>
      <c r="O52" s="737"/>
      <c r="P52" s="737"/>
      <c r="Q52" s="737"/>
      <c r="R52" s="737"/>
      <c r="S52" s="737"/>
      <c r="T52" s="737"/>
      <c r="U52" s="737"/>
      <c r="V52" s="737"/>
      <c r="W52" s="737"/>
      <c r="X52" s="737"/>
      <c r="Y52" s="737"/>
      <c r="Z52" s="737"/>
      <c r="AA52" s="737"/>
      <c r="AB52" s="737"/>
      <c r="AC52" s="737"/>
      <c r="AD52" s="737"/>
      <c r="AE52" s="737"/>
      <c r="AF52" s="737"/>
      <c r="AG52" s="737"/>
      <c r="AH52" s="737"/>
      <c r="AI52" s="737"/>
      <c r="AJ52" s="737"/>
      <c r="AK52" s="737"/>
      <c r="AL52" s="737"/>
      <c r="AM52" s="737"/>
      <c r="AN52" s="737"/>
      <c r="AO52" s="737"/>
      <c r="AP52" s="737"/>
      <c r="AQ52" s="737"/>
      <c r="AR52" s="737"/>
      <c r="AS52" s="737"/>
      <c r="AT52" s="737"/>
      <c r="AU52" s="737"/>
      <c r="AV52" s="737"/>
      <c r="AW52" s="737"/>
      <c r="AX52" s="737"/>
    </row>
    <row r="53" spans="2:71" ht="14.85" customHeight="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U53" s="21"/>
      <c r="AV53" s="21"/>
      <c r="AW53" s="21"/>
      <c r="AX53" s="21"/>
    </row>
    <row r="54" spans="2:71" ht="14.85" customHeight="1">
      <c r="B54" s="20"/>
      <c r="H54" s="161"/>
      <c r="I54" s="740" t="s">
        <v>134</v>
      </c>
      <c r="J54" s="740"/>
      <c r="K54" s="740"/>
      <c r="L54" s="740"/>
      <c r="M54" s="740"/>
      <c r="N54" s="161"/>
      <c r="O54" s="740" t="s">
        <v>2193</v>
      </c>
      <c r="P54" s="740"/>
      <c r="Q54" s="740"/>
      <c r="R54" s="740"/>
      <c r="S54" s="740"/>
      <c r="T54" s="161"/>
      <c r="U54" s="740" t="s">
        <v>133</v>
      </c>
      <c r="V54" s="740"/>
      <c r="W54" s="740"/>
      <c r="X54" s="740"/>
      <c r="Y54" s="740"/>
      <c r="Z54" s="161"/>
      <c r="AA54" s="740" t="s">
        <v>2194</v>
      </c>
      <c r="AB54" s="740"/>
      <c r="AC54" s="740"/>
      <c r="AD54" s="740"/>
      <c r="AE54" s="740"/>
      <c r="AF54" s="161"/>
      <c r="AG54" s="740" t="s">
        <v>2195</v>
      </c>
      <c r="AH54" s="740"/>
      <c r="AI54" s="740"/>
      <c r="AJ54" s="740"/>
      <c r="AK54" s="740"/>
      <c r="AL54" s="161"/>
      <c r="AM54" s="740" t="s">
        <v>130</v>
      </c>
      <c r="AN54" s="740"/>
      <c r="AO54" s="740"/>
      <c r="AP54" s="740"/>
      <c r="AQ54" s="740"/>
      <c r="AR54" s="161"/>
      <c r="AS54" s="740"/>
      <c r="AT54" s="740"/>
      <c r="AU54" s="740"/>
      <c r="AV54" s="740"/>
      <c r="AW54" s="740"/>
      <c r="AX54" s="20"/>
      <c r="BC54" s="739"/>
      <c r="BD54" s="739"/>
      <c r="BE54" s="739"/>
      <c r="BF54" s="739"/>
      <c r="BG54" s="739"/>
      <c r="BH54" s="739"/>
      <c r="BI54" s="739"/>
      <c r="BJ54" s="739"/>
      <c r="BK54" s="739"/>
      <c r="BL54" s="739"/>
      <c r="BM54" s="739"/>
      <c r="BN54" s="739"/>
      <c r="BO54" s="739"/>
      <c r="BP54" s="739"/>
      <c r="BQ54" s="739"/>
      <c r="BR54" s="739"/>
      <c r="BS54" s="739"/>
    </row>
    <row r="55" spans="2:71" ht="8.85" customHeight="1">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row>
    <row r="56" spans="2:71" ht="15">
      <c r="C56" s="723"/>
      <c r="D56" s="723"/>
      <c r="E56" s="723"/>
      <c r="F56" s="723"/>
      <c r="G56" s="723"/>
      <c r="H56" s="160"/>
      <c r="I56" s="723"/>
      <c r="J56" s="723"/>
      <c r="K56" s="723"/>
      <c r="L56" s="723"/>
      <c r="M56" s="723"/>
      <c r="N56" s="160"/>
      <c r="O56" s="723"/>
      <c r="P56" s="723"/>
      <c r="Q56" s="723"/>
      <c r="R56" s="723"/>
      <c r="S56" s="723"/>
      <c r="T56" s="160"/>
      <c r="U56" s="723"/>
      <c r="V56" s="723"/>
      <c r="W56" s="723"/>
      <c r="X56" s="723"/>
      <c r="Y56" s="723"/>
      <c r="Z56" s="160"/>
      <c r="AA56" s="723"/>
      <c r="AB56" s="723"/>
      <c r="AC56" s="723"/>
      <c r="AD56" s="723"/>
      <c r="AE56" s="723"/>
      <c r="AF56" s="160"/>
      <c r="AG56" s="723"/>
      <c r="AH56" s="723"/>
      <c r="AI56" s="723"/>
      <c r="AJ56" s="723"/>
      <c r="AK56" s="723"/>
      <c r="AL56" s="160"/>
      <c r="AM56" s="723"/>
      <c r="AN56" s="723"/>
      <c r="AO56" s="723"/>
      <c r="AP56" s="723"/>
      <c r="AQ56" s="723"/>
      <c r="AR56" s="160"/>
      <c r="AS56" s="723"/>
      <c r="AT56" s="723"/>
      <c r="AU56" s="723"/>
      <c r="AV56" s="723"/>
      <c r="AW56" s="723"/>
    </row>
    <row r="57" spans="2:71" ht="14.85" customHeight="1">
      <c r="C57" s="723"/>
      <c r="D57" s="723"/>
      <c r="E57" s="723"/>
      <c r="F57" s="723"/>
      <c r="G57" s="723"/>
      <c r="H57" s="160"/>
      <c r="I57" s="723"/>
      <c r="J57" s="723"/>
      <c r="K57" s="723"/>
      <c r="L57" s="723"/>
      <c r="M57" s="723"/>
      <c r="N57" s="160"/>
      <c r="O57" s="723"/>
      <c r="P57" s="723"/>
      <c r="Q57" s="723"/>
      <c r="R57" s="723"/>
      <c r="S57" s="723"/>
      <c r="T57" s="160"/>
      <c r="U57" s="723"/>
      <c r="V57" s="723"/>
      <c r="W57" s="723"/>
      <c r="X57" s="723"/>
      <c r="Y57" s="723"/>
      <c r="Z57" s="160"/>
      <c r="AA57" s="723"/>
      <c r="AB57" s="723"/>
      <c r="AC57" s="723"/>
      <c r="AD57" s="723"/>
      <c r="AE57" s="723"/>
      <c r="AF57" s="160"/>
      <c r="AG57" s="723"/>
      <c r="AH57" s="723"/>
      <c r="AI57" s="723"/>
      <c r="AJ57" s="723"/>
      <c r="AK57" s="723"/>
      <c r="AL57" s="160"/>
      <c r="AM57" s="723"/>
      <c r="AN57" s="723"/>
      <c r="AO57" s="723"/>
      <c r="AP57" s="723"/>
      <c r="AQ57" s="723"/>
      <c r="AR57" s="160"/>
      <c r="AS57" s="723"/>
      <c r="AT57" s="723"/>
      <c r="AU57" s="723"/>
      <c r="AV57" s="723"/>
      <c r="AW57" s="723"/>
    </row>
    <row r="58" spans="2:71" ht="14.85" customHeight="1">
      <c r="C58" s="723"/>
      <c r="D58" s="723"/>
      <c r="E58" s="723"/>
      <c r="F58" s="723"/>
      <c r="G58" s="723"/>
      <c r="H58" s="160"/>
      <c r="I58" s="723"/>
      <c r="J58" s="723"/>
      <c r="K58" s="723"/>
      <c r="L58" s="723"/>
      <c r="M58" s="723"/>
      <c r="N58" s="160"/>
      <c r="O58" s="723"/>
      <c r="P58" s="723"/>
      <c r="Q58" s="723"/>
      <c r="R58" s="723"/>
      <c r="S58" s="723"/>
      <c r="T58" s="160"/>
      <c r="U58" s="723"/>
      <c r="V58" s="723"/>
      <c r="W58" s="723"/>
      <c r="X58" s="723"/>
      <c r="Y58" s="723"/>
      <c r="Z58" s="160"/>
      <c r="AA58" s="723"/>
      <c r="AB58" s="723"/>
      <c r="AC58" s="723"/>
      <c r="AD58" s="723"/>
      <c r="AE58" s="723"/>
      <c r="AF58" s="160"/>
      <c r="AG58" s="723"/>
      <c r="AH58" s="723"/>
      <c r="AI58" s="723"/>
      <c r="AJ58" s="723"/>
      <c r="AK58" s="723"/>
      <c r="AL58" s="160"/>
      <c r="AM58" s="723"/>
      <c r="AN58" s="723"/>
      <c r="AO58" s="723"/>
      <c r="AP58" s="723"/>
      <c r="AQ58" s="723"/>
      <c r="AR58" s="160"/>
      <c r="AS58" s="723"/>
      <c r="AT58" s="723"/>
      <c r="AU58" s="723"/>
      <c r="AV58" s="723"/>
      <c r="AW58" s="723"/>
    </row>
    <row r="59" spans="2:71" ht="14.85" customHeight="1">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2"/>
      <c r="AF59" s="163"/>
      <c r="AG59" s="160"/>
      <c r="AH59" s="160"/>
      <c r="AI59" s="160"/>
      <c r="AJ59" s="160"/>
      <c r="AK59" s="160"/>
      <c r="AL59" s="160"/>
      <c r="AM59" s="160"/>
      <c r="AN59" s="160"/>
      <c r="AO59" s="160"/>
      <c r="AP59" s="160"/>
      <c r="AQ59" s="160"/>
      <c r="AR59" s="160"/>
      <c r="AS59" s="160"/>
      <c r="AT59" s="160"/>
      <c r="AU59" s="160"/>
      <c r="AV59" s="160"/>
      <c r="AW59" s="160"/>
      <c r="BC59" s="738"/>
      <c r="BD59" s="738"/>
      <c r="BE59" s="738"/>
      <c r="BF59" s="738"/>
      <c r="BG59" s="738"/>
      <c r="BH59" s="738"/>
      <c r="BI59" s="738"/>
      <c r="BJ59" s="738"/>
      <c r="BK59" s="738"/>
      <c r="BL59" s="738"/>
      <c r="BM59" s="738"/>
      <c r="BN59" s="738"/>
      <c r="BO59" s="738"/>
      <c r="BP59" s="738"/>
      <c r="BQ59" s="738"/>
      <c r="BR59" s="738"/>
      <c r="BS59" s="738"/>
    </row>
    <row r="60" spans="2:71" ht="14.85" customHeight="1">
      <c r="Q60" s="533"/>
      <c r="R60" s="533"/>
      <c r="S60" s="533"/>
    </row>
    <row r="61" spans="2:71" ht="16.5" customHeight="1"/>
    <row r="62" spans="2:71" ht="16.5" customHeight="1">
      <c r="B62" s="737" t="str">
        <f>'Translate&amp;Prices&amp;Logo'!$B$655</f>
        <v>Wypełnienie z siatki</v>
      </c>
      <c r="C62" s="737"/>
      <c r="D62" s="737"/>
      <c r="E62" s="737"/>
      <c r="F62" s="737"/>
      <c r="G62" s="737"/>
      <c r="H62" s="737"/>
      <c r="I62" s="737"/>
      <c r="J62" s="737"/>
      <c r="K62" s="737"/>
      <c r="L62" s="737"/>
      <c r="M62" s="737"/>
      <c r="N62" s="737"/>
      <c r="O62" s="737"/>
      <c r="P62" s="737"/>
      <c r="Q62" s="737"/>
      <c r="R62" s="737"/>
      <c r="S62" s="737"/>
      <c r="T62" s="737"/>
      <c r="U62" s="737"/>
      <c r="V62" s="737"/>
      <c r="W62" s="737"/>
      <c r="X62" s="737"/>
      <c r="Y62" s="737"/>
      <c r="Z62" s="737"/>
      <c r="AA62" s="737"/>
      <c r="AB62" s="737"/>
      <c r="AC62" s="737"/>
      <c r="AD62" s="737"/>
      <c r="AE62" s="737"/>
      <c r="AF62" s="737"/>
      <c r="AG62" s="737"/>
      <c r="AH62" s="737"/>
      <c r="AI62" s="737"/>
      <c r="AJ62" s="737"/>
      <c r="AK62" s="737"/>
      <c r="AL62" s="737"/>
      <c r="AM62" s="737"/>
      <c r="AN62" s="737"/>
      <c r="AO62" s="737"/>
      <c r="AP62" s="737"/>
      <c r="AQ62" s="737"/>
      <c r="AR62" s="737"/>
      <c r="AS62" s="737"/>
      <c r="AT62" s="737"/>
      <c r="AU62" s="737"/>
      <c r="AV62" s="737"/>
      <c r="AW62" s="737"/>
      <c r="AX62" s="737"/>
    </row>
    <row r="63" spans="2:71" ht="16.5" customHeight="1"/>
    <row r="64" spans="2:71" ht="16.5" customHeight="1"/>
    <row r="65" spans="2:2" ht="16.5" customHeight="1"/>
    <row r="66" spans="2:2" ht="16.5" customHeight="1">
      <c r="B66" s="1" t="str">
        <f>CONCATENATE('Translate&amp;Prices&amp;Logo'!B166," - ",'Translate&amp;Prices&amp;Logo'!$B$672)</f>
        <v>siatka alu złota - oko 10x6x1 mm - przezroczystość 67%</v>
      </c>
    </row>
    <row r="67" spans="2:2" ht="16.5" customHeight="1">
      <c r="B67" s="1" t="str">
        <f>CONCATENATE('Translate&amp;Prices&amp;Logo'!B167," - ",'Translate&amp;Prices&amp;Logo'!$B$671)</f>
        <v>siatka stal czarny mat RAL 9005– oko 8x4x1 mm - przezroczystość 50%</v>
      </c>
    </row>
    <row r="68" spans="2:2" ht="16.5" customHeight="1">
      <c r="B68" s="1" t="str">
        <f>CONCATENATE('Translate&amp;Prices&amp;Logo'!B168," - ",'Translate&amp;Prices&amp;Logo'!$B$671)</f>
        <v>siatka stalowa biała - oko 8x4x1 mm - przezroczystość 50%</v>
      </c>
    </row>
    <row r="69" spans="2:2" ht="16.5" customHeight="1">
      <c r="B69" s="1" t="str">
        <f>CONCATENATE('Translate&amp;Prices&amp;Logo'!B169," - ",'Translate&amp;Prices&amp;Logo'!$B$672)</f>
        <v>siatka elox - oko 10x6x1 mm - przezroczystość 67%</v>
      </c>
    </row>
    <row r="70" spans="2:2" ht="16.5" customHeight="1"/>
    <row r="71" spans="2:2" ht="16.5" customHeight="1"/>
    <row r="72" spans="2:2" ht="16.5" customHeight="1"/>
    <row r="73" spans="2:2" ht="16.5" customHeight="1"/>
    <row r="74" spans="2:2" ht="16.5" customHeight="1"/>
    <row r="75" spans="2:2" ht="16.5" customHeight="1"/>
    <row r="76" spans="2:2" ht="16.5" customHeight="1"/>
    <row r="77" spans="2:2" ht="16.5" customHeight="1"/>
    <row r="78" spans="2:2" ht="16.5" customHeight="1"/>
    <row r="79" spans="2:2" ht="16.5" customHeight="1"/>
    <row r="80" spans="2:2"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sheetData>
  <sheetProtection algorithmName="SHA-512" hashValue="yu2L4+fvdW7WCJ4vVPdQLyX80107TO5v+ht/9DtKL+F5YSJ009iAl10sSZxnwn4K0vz/yVS10faXt9NrtMhHxQ==" saltValue="4/p0MB/QdT2YA1EmiJRYVg==" spinCount="100000" sheet="1" objects="1" scenarios="1"/>
  <mergeCells count="77">
    <mergeCell ref="AS34:AW36"/>
    <mergeCell ref="AM38:AQ38"/>
    <mergeCell ref="AS38:AW38"/>
    <mergeCell ref="AA34:AE36"/>
    <mergeCell ref="AG34:AK36"/>
    <mergeCell ref="AM34:AQ36"/>
    <mergeCell ref="BC44:BS44"/>
    <mergeCell ref="BC49:BS49"/>
    <mergeCell ref="BC43:BS43"/>
    <mergeCell ref="AG46:AK48"/>
    <mergeCell ref="BC37:BS37"/>
    <mergeCell ref="BC38:BS38"/>
    <mergeCell ref="AM46:AQ48"/>
    <mergeCell ref="AS46:AW48"/>
    <mergeCell ref="AG40:AK42"/>
    <mergeCell ref="AG38:AK38"/>
    <mergeCell ref="AS40:AW42"/>
    <mergeCell ref="AG44:AK44"/>
    <mergeCell ref="AM44:AQ44"/>
    <mergeCell ref="AS44:AW44"/>
    <mergeCell ref="AM40:AQ42"/>
    <mergeCell ref="P4:AD5"/>
    <mergeCell ref="AQ29:AS29"/>
    <mergeCell ref="B30:AX30"/>
    <mergeCell ref="AS54:AW54"/>
    <mergeCell ref="AA32:AE32"/>
    <mergeCell ref="AG32:AK32"/>
    <mergeCell ref="AM32:AQ32"/>
    <mergeCell ref="AS32:AW32"/>
    <mergeCell ref="C32:G32"/>
    <mergeCell ref="C34:G36"/>
    <mergeCell ref="I32:M32"/>
    <mergeCell ref="O32:S32"/>
    <mergeCell ref="U32:Y32"/>
    <mergeCell ref="I34:M36"/>
    <mergeCell ref="O34:S36"/>
    <mergeCell ref="U34:Y36"/>
    <mergeCell ref="U44:Y44"/>
    <mergeCell ref="AA44:AE44"/>
    <mergeCell ref="C46:G48"/>
    <mergeCell ref="C38:G38"/>
    <mergeCell ref="I38:M38"/>
    <mergeCell ref="O38:S38"/>
    <mergeCell ref="U38:Y38"/>
    <mergeCell ref="AA38:AE38"/>
    <mergeCell ref="O54:S54"/>
    <mergeCell ref="U54:Y54"/>
    <mergeCell ref="AA54:AE54"/>
    <mergeCell ref="AG54:AK54"/>
    <mergeCell ref="C40:G42"/>
    <mergeCell ref="I46:M48"/>
    <mergeCell ref="O46:S48"/>
    <mergeCell ref="U46:Y48"/>
    <mergeCell ref="AA46:AE48"/>
    <mergeCell ref="I40:M42"/>
    <mergeCell ref="O40:S42"/>
    <mergeCell ref="U40:Y42"/>
    <mergeCell ref="AA40:AE42"/>
    <mergeCell ref="C44:G44"/>
    <mergeCell ref="I44:M44"/>
    <mergeCell ref="O44:S44"/>
    <mergeCell ref="AT2:AX3"/>
    <mergeCell ref="B62:AX62"/>
    <mergeCell ref="BC59:BS59"/>
    <mergeCell ref="BC54:BS54"/>
    <mergeCell ref="C56:G58"/>
    <mergeCell ref="I56:M58"/>
    <mergeCell ref="O56:S58"/>
    <mergeCell ref="U56:Y58"/>
    <mergeCell ref="AA56:AE58"/>
    <mergeCell ref="AG56:AK58"/>
    <mergeCell ref="AM56:AQ58"/>
    <mergeCell ref="AS56:AW58"/>
    <mergeCell ref="Q60:S60"/>
    <mergeCell ref="B52:AX52"/>
    <mergeCell ref="AM54:AQ54"/>
    <mergeCell ref="I54:M54"/>
  </mergeCells>
  <hyperlinks>
    <hyperlink ref="AT2:AW3" location="Hlavní!A1" display="Hlavní!A1" xr:uid="{FE4D4BE5-A41A-411D-B9D3-6D520AE30380}"/>
  </hyperlinks>
  <pageMargins left="0.7" right="0.7" top="0.78740157499999996" bottom="0.78740157499999996"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98A7-3B53-4384-9A22-9888F5DDD3FB}">
  <sheetPr codeName="List30">
    <tabColor rgb="FF92D050"/>
  </sheetPr>
  <dimension ref="A1:CW224"/>
  <sheetViews>
    <sheetView showZeros="0" workbookViewId="0">
      <selection activeCell="AC27" sqref="AC27:AO27"/>
    </sheetView>
  </sheetViews>
  <sheetFormatPr defaultColWidth="0" defaultRowHeight="14.85" customHeight="1"/>
  <cols>
    <col min="1" max="11" width="4.42578125" style="1" customWidth="1"/>
    <col min="12" max="15" width="5.5703125" style="1" customWidth="1"/>
    <col min="16" max="22" width="4.42578125" style="1" customWidth="1"/>
    <col min="23" max="26" width="6.140625" style="1" customWidth="1"/>
    <col min="27" max="27" width="10.5703125" style="1" customWidth="1"/>
    <col min="28" max="28" width="2.140625" style="1" customWidth="1"/>
    <col min="29" max="30" width="6.42578125" style="1" customWidth="1"/>
    <col min="31" max="31" width="6.42578125" style="13" customWidth="1"/>
    <col min="32" max="32" width="7.7109375" style="11" customWidth="1"/>
    <col min="33" max="34" width="6.140625" style="1" customWidth="1"/>
    <col min="35" max="35" width="15.28515625" style="1" customWidth="1"/>
    <col min="36" max="37" width="6.140625" style="1" customWidth="1"/>
    <col min="38" max="41" width="6.42578125" style="1" customWidth="1"/>
    <col min="42" max="42" width="4.42578125" style="1" customWidth="1"/>
    <col min="43" max="43" width="8.5703125" style="1" customWidth="1"/>
    <col min="44" max="44" width="8.7109375" style="1" customWidth="1"/>
    <col min="45" max="52" width="8.5703125" style="1" hidden="1" customWidth="1"/>
    <col min="53" max="54" width="8.5703125" style="12" hidden="1" customWidth="1"/>
    <col min="55" max="55" width="8.5703125" style="1" hidden="1" customWidth="1"/>
    <col min="56" max="57" width="12.5703125" style="1" hidden="1" customWidth="1"/>
    <col min="58" max="60" width="8.5703125" style="1" hidden="1" customWidth="1"/>
    <col min="61" max="61" width="14.42578125" style="1" hidden="1" customWidth="1"/>
    <col min="62" max="62" width="20.28515625" style="1" hidden="1" customWidth="1"/>
    <col min="63" max="64" width="8.5703125" style="1" hidden="1" customWidth="1"/>
    <col min="65" max="65" width="21.85546875" style="1" hidden="1" customWidth="1"/>
    <col min="66" max="88" width="8.5703125" style="1" hidden="1" customWidth="1"/>
    <col min="89" max="89" width="34.28515625" style="1" hidden="1" customWidth="1"/>
    <col min="90" max="90" width="25" style="1" hidden="1" customWidth="1"/>
    <col min="91" max="16384" width="8.5703125" style="1" hidden="1"/>
  </cols>
  <sheetData>
    <row r="1" spans="1:90" ht="15">
      <c r="A1" s="38"/>
      <c r="B1" s="38"/>
      <c r="C1" s="38"/>
      <c r="D1" s="38"/>
      <c r="E1" s="38"/>
      <c r="F1" s="38"/>
      <c r="G1" s="38"/>
      <c r="H1" s="38"/>
      <c r="I1" s="38"/>
      <c r="J1" s="38"/>
      <c r="K1" s="38"/>
      <c r="L1" s="38"/>
      <c r="M1" s="38"/>
      <c r="N1" s="38"/>
      <c r="O1" s="38"/>
      <c r="P1" s="38"/>
      <c r="Q1" s="38"/>
      <c r="R1" s="38"/>
      <c r="S1" s="38"/>
      <c r="T1" s="38"/>
      <c r="U1" s="38"/>
      <c r="V1" s="38"/>
      <c r="AL1" s="533" t="str">
        <f>_xlfn.TEXTAFTER('Translate&amp;Prices&amp;Logo'!B249,"/")</f>
        <v>Wersja 8.4</v>
      </c>
      <c r="AM1" s="533"/>
      <c r="AN1" s="533"/>
      <c r="AO1" s="729">
        <f ca="1">_souhrn!AM1</f>
        <v>46281</v>
      </c>
      <c r="AP1" s="533"/>
      <c r="AQ1" s="533"/>
      <c r="AR1" s="533"/>
    </row>
    <row r="2" spans="1:90"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781"/>
      <c r="AO2" s="782"/>
      <c r="AP2" s="782"/>
      <c r="AQ2" s="782"/>
      <c r="AR2" s="782"/>
      <c r="CK2" t="s">
        <v>2568</v>
      </c>
      <c r="CL2" t="s">
        <v>3211</v>
      </c>
    </row>
    <row r="3" spans="1:90"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5"/>
      <c r="AF3" s="15"/>
      <c r="AG3" s="15"/>
      <c r="AH3" s="15"/>
      <c r="AI3" s="15"/>
      <c r="AJ3" s="15"/>
      <c r="AK3" s="15"/>
      <c r="AL3" s="15"/>
      <c r="AM3" s="15"/>
      <c r="AN3" s="781"/>
      <c r="AO3" s="782"/>
      <c r="AP3" s="782"/>
      <c r="AQ3" s="782"/>
      <c r="AR3" s="782"/>
      <c r="CK3" t="s">
        <v>2569</v>
      </c>
      <c r="CL3" t="s">
        <v>2569</v>
      </c>
    </row>
    <row r="4" spans="1:90" ht="32.25" customHeight="1">
      <c r="X4" s="753">
        <f>IF(AND(Hlavní!V39=3,Zakaznik!K23="Dostawa na adres"),_souhrn!AH$7,_souhrn!AH$5)</f>
        <v>0</v>
      </c>
      <c r="Y4" s="754"/>
      <c r="Z4" s="754"/>
      <c r="AA4" s="754"/>
      <c r="AB4" s="754"/>
      <c r="AC4" s="754"/>
      <c r="AD4" s="754"/>
      <c r="AE4" s="754"/>
      <c r="AF4" s="761" t="str">
        <f>VLOOKUP('Translate&amp;Prices&amp;Logo'!D1,kombinace_1!$EV$1:$EW$6,2,0)</f>
        <v>zl</v>
      </c>
      <c r="AG4" s="136"/>
      <c r="AH4" s="136"/>
      <c r="AI4" s="136"/>
      <c r="AJ4" s="136"/>
      <c r="AK4" s="136"/>
      <c r="AL4" s="136"/>
      <c r="AM4" s="136"/>
      <c r="AN4" s="137"/>
      <c r="AO4" s="136"/>
      <c r="AP4" s="136"/>
      <c r="AQ4" s="136"/>
      <c r="CK4" t="s">
        <v>1334</v>
      </c>
      <c r="CL4" t="s">
        <v>4274</v>
      </c>
    </row>
    <row r="5" spans="1:90" ht="14.85" customHeight="1">
      <c r="B5" s="785" t="s">
        <v>3517</v>
      </c>
      <c r="C5" s="785"/>
      <c r="D5" s="744">
        <f>Zakaznik!K23</f>
        <v>0</v>
      </c>
      <c r="E5" s="744"/>
      <c r="F5" s="744"/>
      <c r="G5" s="744"/>
      <c r="H5" s="744"/>
      <c r="I5" s="744"/>
      <c r="J5" s="744"/>
      <c r="K5" s="744"/>
      <c r="L5" s="29"/>
      <c r="M5" s="49" t="str">
        <f>IF(D5="Dostawa na adres",Zakaznik!E13,"")</f>
        <v/>
      </c>
      <c r="N5" s="49"/>
      <c r="O5" s="300" t="str">
        <f>IF(D5="Dostawa na adres",Zakaznik!K13,"")</f>
        <v/>
      </c>
      <c r="P5" s="300"/>
      <c r="Q5" s="300"/>
      <c r="R5" s="300"/>
      <c r="S5" s="300"/>
      <c r="T5" s="300"/>
      <c r="U5" s="300"/>
      <c r="V5" s="20"/>
      <c r="W5" s="20"/>
      <c r="X5" s="754"/>
      <c r="Y5" s="754"/>
      <c r="Z5" s="754"/>
      <c r="AA5" s="754"/>
      <c r="AB5" s="754"/>
      <c r="AC5" s="754"/>
      <c r="AD5" s="754"/>
      <c r="AE5" s="754"/>
      <c r="AF5" s="761"/>
      <c r="AG5" s="136"/>
      <c r="AH5" s="136"/>
      <c r="AI5" s="20"/>
      <c r="AJ5" s="20"/>
      <c r="AL5" s="29"/>
      <c r="AM5" s="29"/>
      <c r="AN5" s="29"/>
      <c r="AO5" s="29"/>
      <c r="CK5" t="s">
        <v>1339</v>
      </c>
      <c r="CL5" t="s">
        <v>4275</v>
      </c>
    </row>
    <row r="6" spans="1:90" ht="14.85" customHeight="1">
      <c r="B6" s="30"/>
      <c r="C6" s="30"/>
      <c r="D6" s="743" t="str">
        <f>IF(Zakaznik!$K$23="Dostawa na adres",Zakaznik!K25,"")</f>
        <v/>
      </c>
      <c r="E6" s="743"/>
      <c r="F6" s="743"/>
      <c r="G6" s="743"/>
      <c r="H6" s="743"/>
      <c r="I6" s="743"/>
      <c r="J6" s="743"/>
      <c r="K6" s="743"/>
      <c r="L6" s="29"/>
      <c r="M6" s="29"/>
      <c r="N6" s="29"/>
      <c r="O6" s="29"/>
      <c r="P6" s="29"/>
      <c r="Q6" s="301"/>
      <c r="R6" s="301"/>
      <c r="S6" s="301"/>
      <c r="T6" s="301"/>
      <c r="U6" s="301"/>
      <c r="V6" s="20"/>
      <c r="W6" s="20"/>
      <c r="Y6" s="29"/>
      <c r="Z6" s="29"/>
      <c r="AA6" s="29"/>
      <c r="AB6" s="29"/>
      <c r="AD6" s="20"/>
      <c r="AE6" s="20"/>
      <c r="AF6" s="20"/>
      <c r="AG6" s="20"/>
      <c r="AH6" s="20"/>
      <c r="AI6" s="20"/>
      <c r="AJ6" s="20"/>
      <c r="AL6" s="122"/>
      <c r="AM6" s="123"/>
      <c r="AN6" s="123"/>
      <c r="AO6" s="123"/>
      <c r="CK6" t="s">
        <v>2508</v>
      </c>
      <c r="CL6" t="s">
        <v>2508</v>
      </c>
    </row>
    <row r="7" spans="1:90" ht="14.85" customHeight="1">
      <c r="B7" s="30"/>
      <c r="C7" s="30"/>
      <c r="D7" s="743" t="str">
        <f>IF(Zakaznik!$K$23="Dostawa na adres",Zakaznik!K26,"")</f>
        <v/>
      </c>
      <c r="E7" s="743"/>
      <c r="F7" s="743"/>
      <c r="G7" s="743"/>
      <c r="H7" s="743"/>
      <c r="I7" s="743"/>
      <c r="J7" s="743"/>
      <c r="K7" s="743"/>
      <c r="L7" s="49"/>
      <c r="M7" s="49" t="str">
        <f>IF(D5="Dostawa na adres",Zakaznik!E17,"")</f>
        <v/>
      </c>
      <c r="N7" s="49"/>
      <c r="O7" s="49"/>
      <c r="Q7" s="783" t="str">
        <f>IF(D5="Dostawa na adres",Zakaznik!K17,"")</f>
        <v/>
      </c>
      <c r="R7" s="783"/>
      <c r="S7" s="783"/>
      <c r="T7" s="783"/>
      <c r="U7" s="783"/>
      <c r="V7" s="20"/>
      <c r="W7" s="20"/>
      <c r="X7" s="29"/>
      <c r="Y7" s="29"/>
      <c r="Z7" s="29"/>
      <c r="AA7" s="29"/>
      <c r="AB7" s="29"/>
      <c r="AC7" s="29"/>
      <c r="AD7" s="29"/>
      <c r="AE7" s="29"/>
      <c r="AF7" s="20"/>
      <c r="AG7" s="20"/>
      <c r="AH7" s="20"/>
      <c r="AI7" s="20"/>
      <c r="AJ7" s="20"/>
      <c r="AL7" s="123"/>
      <c r="AM7" s="123"/>
      <c r="AN7" s="123"/>
      <c r="AO7" s="123"/>
      <c r="CK7" t="s">
        <v>2509</v>
      </c>
      <c r="CL7" t="s">
        <v>2509</v>
      </c>
    </row>
    <row r="8" spans="1:90" ht="13.35" customHeight="1" thickBot="1">
      <c r="B8" s="30"/>
      <c r="C8" s="30"/>
      <c r="D8" s="743" t="str">
        <f>IF(Zakaznik!$K$23="Dostawa na adres",Zakaznik!K27,"")</f>
        <v/>
      </c>
      <c r="E8" s="743"/>
      <c r="F8" s="743"/>
      <c r="G8" s="743"/>
      <c r="H8" s="743"/>
      <c r="I8" s="743"/>
      <c r="J8" s="743"/>
      <c r="K8" s="743"/>
      <c r="L8" s="29"/>
      <c r="M8" s="29"/>
      <c r="N8" s="29"/>
      <c r="O8" s="29"/>
      <c r="P8" s="29"/>
      <c r="Q8" s="29"/>
      <c r="R8" s="29"/>
      <c r="S8" s="29"/>
      <c r="T8" s="29"/>
      <c r="U8" s="29"/>
      <c r="CK8" t="s">
        <v>1076</v>
      </c>
      <c r="CL8" t="s">
        <v>2535</v>
      </c>
    </row>
    <row r="9" spans="1:90" ht="35.1" customHeight="1" thickBot="1">
      <c r="J9" s="121"/>
      <c r="K9" s="121"/>
      <c r="L9" s="121"/>
      <c r="M9" s="121"/>
      <c r="N9" s="121"/>
      <c r="O9" s="121"/>
      <c r="P9" s="121"/>
      <c r="Q9" s="121"/>
      <c r="R9" s="121"/>
      <c r="S9" s="121"/>
      <c r="T9" s="121"/>
      <c r="U9" s="121"/>
      <c r="V9" s="121"/>
      <c r="W9" s="765" t="str">
        <f>'Translate&amp;Prices&amp;Logo'!$O$258</f>
        <v>Numer zamówienia</v>
      </c>
      <c r="X9" s="765"/>
      <c r="Y9" s="765"/>
      <c r="Z9" s="765"/>
      <c r="AA9" s="765"/>
      <c r="AB9" s="56"/>
      <c r="AC9" s="762">
        <f>Ram_1!AS5</f>
        <v>0</v>
      </c>
      <c r="AD9" s="763"/>
      <c r="AE9" s="763"/>
      <c r="AF9" s="763"/>
      <c r="AG9" s="763"/>
      <c r="AH9" s="763"/>
      <c r="AI9" s="763"/>
      <c r="AJ9" s="763"/>
      <c r="AK9" s="763"/>
      <c r="AL9" s="763"/>
      <c r="AM9" s="763"/>
      <c r="AN9" s="763"/>
      <c r="AO9" s="764"/>
      <c r="AR9" s="779" t="s">
        <v>1606</v>
      </c>
      <c r="CK9" t="s">
        <v>1084</v>
      </c>
      <c r="CL9" t="s">
        <v>2538</v>
      </c>
    </row>
    <row r="10" spans="1:90" ht="16.350000000000001" customHeight="1">
      <c r="A10" s="784" t="str">
        <f>CONCATENATE(AC9,"   ",(IF(X4&gt;0,ROUND(X4,2)&amp;" "&amp;AF4,"")))</f>
        <v xml:space="preserve">0   </v>
      </c>
      <c r="B10" s="784"/>
      <c r="W10" s="755" t="str">
        <f>'Translate&amp;Prices&amp;Logo'!$O$544</f>
        <v>Połączenie 2 profili</v>
      </c>
      <c r="X10" s="755"/>
      <c r="Y10" s="755"/>
      <c r="Z10" s="755"/>
      <c r="AA10" s="755"/>
      <c r="AB10" s="481"/>
      <c r="AC10" s="780" t="str">
        <f>IF(kombinace_1!$H$1=TRUE,"Tak","Nie")</f>
        <v>Nie</v>
      </c>
      <c r="AD10" s="780"/>
      <c r="AE10" s="780"/>
      <c r="AF10" s="780"/>
      <c r="AG10" s="780"/>
      <c r="AH10" s="780"/>
      <c r="AI10" s="780"/>
      <c r="AJ10" s="780"/>
      <c r="AK10" s="780"/>
      <c r="AL10" s="780"/>
      <c r="AM10" s="780"/>
      <c r="AN10" s="780"/>
      <c r="AO10" s="780"/>
      <c r="AR10" s="779"/>
      <c r="CK10" t="s">
        <v>1090</v>
      </c>
      <c r="CL10" t="s">
        <v>1090</v>
      </c>
    </row>
    <row r="11" spans="1:90" ht="16.350000000000001" customHeight="1">
      <c r="A11" s="784"/>
      <c r="B11" s="784"/>
      <c r="W11" s="755" t="str">
        <f>'Translate&amp;Prices&amp;Logo'!$O$174</f>
        <v>Rodzaj profilu</v>
      </c>
      <c r="X11" s="755"/>
      <c r="Y11" s="755"/>
      <c r="Z11" s="755"/>
      <c r="AA11" s="755"/>
      <c r="AB11" s="481"/>
      <c r="AC11" s="756">
        <f>IFERROR(VLOOKUP(Ram_1!$H$8,'Translate&amp;Prices&amp;Logo'!$AA$1:$AB$456,2,0),Ram_1!$H$8)</f>
        <v>0</v>
      </c>
      <c r="AD11" s="756"/>
      <c r="AE11" s="756"/>
      <c r="AF11" s="756"/>
      <c r="AG11" s="756"/>
      <c r="AH11" s="756"/>
      <c r="AI11" s="756"/>
      <c r="AJ11" s="756"/>
      <c r="AK11" s="756"/>
      <c r="AL11" s="756"/>
      <c r="AM11" s="756"/>
      <c r="AN11" s="756"/>
      <c r="AO11" s="756"/>
      <c r="AR11" s="779"/>
      <c r="CK11" t="s">
        <v>1333</v>
      </c>
      <c r="CL11" t="s">
        <v>3073</v>
      </c>
    </row>
    <row r="12" spans="1:90" ht="16.350000000000001" customHeight="1">
      <c r="A12" s="784"/>
      <c r="B12" s="784"/>
      <c r="W12" s="755" t="str">
        <f>'Translate&amp;Prices&amp;Logo'!$O$545</f>
        <v>Szprosy</v>
      </c>
      <c r="X12" s="755"/>
      <c r="Y12" s="755"/>
      <c r="Z12" s="755"/>
      <c r="AA12" s="755"/>
      <c r="AB12" s="481"/>
      <c r="AC12" s="756" t="str" cm="1">
        <f t="array" ref="AC12">IFERROR(VLOOKUP(Ram_1!$AU$10,AU12:AV15,2,0),Nie)</f>
        <v>Nie</v>
      </c>
      <c r="AD12" s="756"/>
      <c r="AE12" s="756"/>
      <c r="AF12" s="756"/>
      <c r="AG12" s="756"/>
      <c r="AH12" s="756"/>
      <c r="AI12" s="756"/>
      <c r="AJ12" s="756"/>
      <c r="AK12" s="756"/>
      <c r="AL12" s="756"/>
      <c r="AM12" s="756"/>
      <c r="AN12" s="756"/>
      <c r="AO12" s="756"/>
      <c r="AR12" s="779"/>
      <c r="AU12">
        <v>0</v>
      </c>
      <c r="AV12" t="str">
        <f>'Translate&amp;Prices&amp;Logo'!$O$559</f>
        <v>Nie</v>
      </c>
      <c r="AZ12">
        <v>2</v>
      </c>
      <c r="BA12" t="str">
        <f>'Translate&amp;Prices&amp;Logo'!$O$553</f>
        <v>Zawiasy</v>
      </c>
      <c r="BD12" s="1" t="s">
        <v>68</v>
      </c>
      <c r="BE12" s="1" t="s">
        <v>220</v>
      </c>
      <c r="BI12" s="1" t="s">
        <v>52</v>
      </c>
      <c r="BJ12" s="1" t="s">
        <v>214</v>
      </c>
      <c r="BM12" s="1" t="s">
        <v>105</v>
      </c>
      <c r="BN12" s="1" t="s">
        <v>251</v>
      </c>
      <c r="BX12" s="1">
        <v>1</v>
      </c>
      <c r="BY12" s="1" t="str">
        <f>'Translate&amp;Prices&amp;Logo'!$O$102</f>
        <v>Bez modyfikacji</v>
      </c>
      <c r="CA12" t="s">
        <v>953</v>
      </c>
      <c r="CB12" t="s">
        <v>1320</v>
      </c>
      <c r="CK12" t="s">
        <v>1338</v>
      </c>
      <c r="CL12" t="s">
        <v>3074</v>
      </c>
    </row>
    <row r="13" spans="1:90" ht="16.350000000000001" customHeight="1">
      <c r="A13" s="784"/>
      <c r="B13" s="784"/>
      <c r="W13" s="126"/>
      <c r="X13" s="126"/>
      <c r="Y13" s="126"/>
      <c r="Z13" s="126"/>
      <c r="AA13" s="126"/>
      <c r="AB13" s="481"/>
      <c r="AC13" s="777" t="str">
        <f>IF(OR(Ram_1!$AU$10=1,Ram_1!$AU$10=3),'Translate&amp;Prices&amp;Logo'!O560,"")</f>
        <v/>
      </c>
      <c r="AD13" s="777"/>
      <c r="AE13" s="777"/>
      <c r="AF13" s="777"/>
      <c r="AG13" s="777"/>
      <c r="AH13" s="777"/>
      <c r="AI13" s="777"/>
      <c r="AJ13" s="777" t="str">
        <f>IF(OR(Ram_1!$AU$10=2,Ram_1!$AU$10=3),'Translate&amp;Prices&amp;Logo'!O561,"")</f>
        <v/>
      </c>
      <c r="AK13" s="777"/>
      <c r="AL13" s="777"/>
      <c r="AM13" s="777"/>
      <c r="AN13" s="777"/>
      <c r="AO13" s="777"/>
      <c r="AR13" s="779"/>
      <c r="AU13">
        <v>1</v>
      </c>
      <c r="AV13" t="str">
        <f>'Translate&amp;Prices&amp;Logo'!$O$560</f>
        <v>Poziomo (termin dostawy 4 tygodnie)</v>
      </c>
      <c r="AZ13">
        <v>3</v>
      </c>
      <c r="BA13" t="str">
        <f>'Translate&amp;Prices&amp;Logo'!$O$554</f>
        <v>Podnośniki</v>
      </c>
      <c r="BD13" s="1" t="s">
        <v>69</v>
      </c>
      <c r="BE13" s="1" t="s">
        <v>221</v>
      </c>
      <c r="BI13" s="1" t="s">
        <v>51</v>
      </c>
      <c r="BJ13" s="1" t="s">
        <v>215</v>
      </c>
      <c r="BM13" s="1" t="s">
        <v>106</v>
      </c>
      <c r="BN13" s="1" t="s">
        <v>252</v>
      </c>
      <c r="BX13" s="1">
        <v>2</v>
      </c>
      <c r="BY13" s="1" t="str">
        <f>'Translate&amp;Prices&amp;Logo'!$O$103</f>
        <v>Hartowane</v>
      </c>
      <c r="CA13" t="s">
        <v>956</v>
      </c>
      <c r="CB13" t="s">
        <v>1321</v>
      </c>
      <c r="CK13" t="s">
        <v>1077</v>
      </c>
      <c r="CL13" t="s">
        <v>2973</v>
      </c>
    </row>
    <row r="14" spans="1:90" ht="16.350000000000001" customHeight="1">
      <c r="A14" s="784"/>
      <c r="B14" s="784"/>
      <c r="W14" s="755" t="str">
        <f>('Translate&amp;Prices&amp;Logo'!$O$545)&amp;" "&amp;"("&amp;'Translate&amp;Prices&amp;Logo'!$O$176&amp;")"</f>
        <v>Szprosy (Ilość sztuk)</v>
      </c>
      <c r="X14" s="755"/>
      <c r="Y14" s="755"/>
      <c r="Z14" s="755"/>
      <c r="AA14" s="755"/>
      <c r="AB14" s="481"/>
      <c r="AC14" s="756">
        <f>Ram_1!$H$11</f>
        <v>0</v>
      </c>
      <c r="AD14" s="756"/>
      <c r="AE14" s="756"/>
      <c r="AF14" s="756"/>
      <c r="AG14" s="756"/>
      <c r="AH14" s="756"/>
      <c r="AI14" s="756"/>
      <c r="AJ14" s="756">
        <f>Ram_1!$M$11</f>
        <v>0</v>
      </c>
      <c r="AK14" s="756"/>
      <c r="AL14" s="756"/>
      <c r="AM14" s="756"/>
      <c r="AN14" s="756"/>
      <c r="AO14" s="756"/>
      <c r="AR14" s="779"/>
      <c r="AU14">
        <v>2</v>
      </c>
      <c r="AV14" t="str">
        <f>'Translate&amp;Prices&amp;Logo'!$O$561</f>
        <v>Pionowo (termin dostawy 4 tygodnie)</v>
      </c>
      <c r="BD14" s="1" t="s">
        <v>70</v>
      </c>
      <c r="BE14" s="1" t="s">
        <v>1145</v>
      </c>
      <c r="BI14" s="1" t="s">
        <v>158</v>
      </c>
      <c r="BJ14" s="1" t="s">
        <v>214</v>
      </c>
      <c r="BM14" s="1" t="s">
        <v>108</v>
      </c>
      <c r="BN14" s="1" t="s">
        <v>253</v>
      </c>
      <c r="BX14" s="1">
        <v>3</v>
      </c>
      <c r="BY14" s="1" t="str">
        <f>'Translate&amp;Prices&amp;Logo'!$O$104</f>
        <v>Folia</v>
      </c>
      <c r="CA14" t="s">
        <v>959</v>
      </c>
      <c r="CB14" t="s">
        <v>1322</v>
      </c>
      <c r="CK14" t="s">
        <v>1085</v>
      </c>
      <c r="CL14" t="s">
        <v>2974</v>
      </c>
    </row>
    <row r="15" spans="1:90" ht="16.350000000000001" customHeight="1">
      <c r="A15" s="784"/>
      <c r="B15" s="784"/>
      <c r="W15" s="755" t="str">
        <f>'Translate&amp;Prices&amp;Logo'!$O$260</f>
        <v>Typ okucia</v>
      </c>
      <c r="X15" s="755"/>
      <c r="Y15" s="755"/>
      <c r="Z15" s="755"/>
      <c r="AA15" s="755"/>
      <c r="AB15" s="481"/>
      <c r="AC15" s="756" t="str">
        <f>IFERROR(VLOOKUP(Ram_1!$AU$9,AZ12:BA13,2,0),Ram_1!$AU$9)</f>
        <v/>
      </c>
      <c r="AD15" s="756"/>
      <c r="AE15" s="756"/>
      <c r="AF15" s="756"/>
      <c r="AG15" s="756"/>
      <c r="AH15" s="756"/>
      <c r="AI15" s="756"/>
      <c r="AJ15" s="756"/>
      <c r="AK15" s="756"/>
      <c r="AL15" s="756"/>
      <c r="AM15" s="756"/>
      <c r="AN15" s="756"/>
      <c r="AO15" s="756"/>
      <c r="AR15" s="779"/>
      <c r="AU15">
        <v>3</v>
      </c>
      <c r="AV15" t="str">
        <f>'Translate&amp;Prices&amp;Logo'!$O$562</f>
        <v>Poziomo i pionowo (termin dostawy 4 tygodnie)</v>
      </c>
      <c r="BD15" s="1" t="s">
        <v>68</v>
      </c>
      <c r="BE15" s="1" t="s">
        <v>220</v>
      </c>
      <c r="BI15" s="1" t="s">
        <v>159</v>
      </c>
      <c r="BJ15" s="1" t="s">
        <v>215</v>
      </c>
      <c r="BM15" s="1" t="s">
        <v>107</v>
      </c>
      <c r="BN15" s="1" t="s">
        <v>254</v>
      </c>
      <c r="CA15" t="s">
        <v>1210</v>
      </c>
      <c r="CB15" t="s">
        <v>1320</v>
      </c>
      <c r="CK15" t="s">
        <v>1078</v>
      </c>
      <c r="CL15" t="s">
        <v>3213</v>
      </c>
    </row>
    <row r="16" spans="1:90" ht="16.350000000000001" customHeight="1">
      <c r="A16" s="784"/>
      <c r="B16" s="784"/>
      <c r="W16" s="755" t="str">
        <f>'Translate&amp;Prices&amp;Logo'!$O$546</f>
        <v>Marka okucia</v>
      </c>
      <c r="X16" s="755"/>
      <c r="Y16" s="755"/>
      <c r="Z16" s="755"/>
      <c r="AA16" s="755"/>
      <c r="AB16" s="481"/>
      <c r="AC16" s="756">
        <f>Ram_1!$H$13</f>
        <v>0</v>
      </c>
      <c r="AD16" s="756"/>
      <c r="AE16" s="756"/>
      <c r="AF16" s="756"/>
      <c r="AG16" s="756"/>
      <c r="AH16" s="756"/>
      <c r="AI16" s="756"/>
      <c r="AJ16" s="756"/>
      <c r="AK16" s="756"/>
      <c r="AL16" s="756"/>
      <c r="AM16" s="756"/>
      <c r="AN16" s="756"/>
      <c r="AO16" s="756"/>
      <c r="AR16" s="779"/>
      <c r="BD16" s="1" t="s">
        <v>69</v>
      </c>
      <c r="BE16" s="1" t="s">
        <v>221</v>
      </c>
      <c r="BI16" s="1" t="s">
        <v>408</v>
      </c>
      <c r="BJ16" s="1" t="s">
        <v>214</v>
      </c>
      <c r="BM16" s="1" t="s">
        <v>109</v>
      </c>
      <c r="BN16" s="1" t="s">
        <v>1306</v>
      </c>
      <c r="CA16" t="s">
        <v>1211</v>
      </c>
      <c r="CB16" t="s">
        <v>1321</v>
      </c>
      <c r="CK16" t="s">
        <v>1058</v>
      </c>
      <c r="CL16" t="s">
        <v>3214</v>
      </c>
    </row>
    <row r="17" spans="1:90" ht="16.350000000000001" customHeight="1" thickBot="1">
      <c r="A17" s="784"/>
      <c r="B17" s="784"/>
      <c r="W17" s="755" t="str">
        <f>'Translate&amp;Prices&amp;Logo'!$O$548</f>
        <v>Nałożenie</v>
      </c>
      <c r="X17" s="755"/>
      <c r="Y17" s="755"/>
      <c r="Z17" s="755"/>
      <c r="AA17" s="755"/>
      <c r="AB17" s="481"/>
      <c r="AC17" s="756">
        <f>IFERROR(VLOOKUP(Ram_1!$H$14,$BD$12:$BE$29,2,0),0)</f>
        <v>0</v>
      </c>
      <c r="AD17" s="756"/>
      <c r="AE17" s="756"/>
      <c r="AF17" s="756"/>
      <c r="AG17" s="756"/>
      <c r="AH17" s="756"/>
      <c r="AI17" s="756"/>
      <c r="AJ17" s="756"/>
      <c r="AK17" s="756"/>
      <c r="AL17" s="756"/>
      <c r="AM17" s="756"/>
      <c r="AN17" s="756"/>
      <c r="AO17" s="756"/>
      <c r="AR17" s="779"/>
      <c r="BD17" s="1" t="s">
        <v>70</v>
      </c>
      <c r="BE17" s="1" t="s">
        <v>1145</v>
      </c>
      <c r="BI17" s="1" t="s">
        <v>281</v>
      </c>
      <c r="BJ17" s="1" t="s">
        <v>215</v>
      </c>
      <c r="BM17" s="1" t="s">
        <v>191</v>
      </c>
      <c r="BN17" s="1" t="s">
        <v>251</v>
      </c>
      <c r="CA17" t="s">
        <v>1212</v>
      </c>
      <c r="CB17" t="s">
        <v>1322</v>
      </c>
      <c r="CK17" t="s">
        <v>1067</v>
      </c>
      <c r="CL17" t="s">
        <v>1067</v>
      </c>
    </row>
    <row r="18" spans="1:90" ht="16.350000000000001" customHeight="1">
      <c r="A18" s="784"/>
      <c r="B18" s="784"/>
      <c r="S18" s="751">
        <f>Ram_1!AR14</f>
        <v>0</v>
      </c>
      <c r="W18" s="755" t="str">
        <f>'Translate&amp;Prices&amp;Logo'!$O$547</f>
        <v>Wariant okucia</v>
      </c>
      <c r="X18" s="755"/>
      <c r="Y18" s="755"/>
      <c r="Z18" s="755"/>
      <c r="AA18" s="755"/>
      <c r="AB18" s="481"/>
      <c r="AC18" s="758">
        <f>IFERROR(VLOOKUP(Ram_1!$H$15,kombinace_1!$ED$2:$EE$758,2,0),Ram_1!$H$15)</f>
        <v>0</v>
      </c>
      <c r="AD18" s="758"/>
      <c r="AE18" s="758"/>
      <c r="AF18" s="758"/>
      <c r="AG18" s="758"/>
      <c r="AH18" s="758"/>
      <c r="AI18" s="758"/>
      <c r="AJ18" s="756" t="str">
        <f>IF(AC18='Translate&amp;Prices&amp;Logo'!C700,VLOOKUP(Ram_1!H17,'Translate&amp;Prices&amp;Logo'!C701:D748,2,0),"")</f>
        <v/>
      </c>
      <c r="AK18" s="756"/>
      <c r="AL18" s="756"/>
      <c r="AM18" s="756"/>
      <c r="AN18" s="756"/>
      <c r="AO18" s="756"/>
      <c r="AR18" s="779"/>
      <c r="BD18" s="1" t="s">
        <v>220</v>
      </c>
      <c r="BE18" s="1" t="s">
        <v>220</v>
      </c>
      <c r="BI18" s="1" t="s">
        <v>1348</v>
      </c>
      <c r="BJ18" s="1" t="s">
        <v>214</v>
      </c>
      <c r="BM18" s="1" t="s">
        <v>192</v>
      </c>
      <c r="BN18" s="1" t="s">
        <v>252</v>
      </c>
      <c r="CA18" t="s">
        <v>1320</v>
      </c>
      <c r="CB18" t="s">
        <v>1320</v>
      </c>
      <c r="CK18" t="s">
        <v>1086</v>
      </c>
      <c r="CL18" t="s">
        <v>3212</v>
      </c>
    </row>
    <row r="19" spans="1:90" ht="16.350000000000001" customHeight="1">
      <c r="A19" s="784"/>
      <c r="B19" s="784"/>
      <c r="S19" s="752">
        <f>Ram_1!AR15</f>
        <v>0</v>
      </c>
      <c r="W19" s="755" t="str">
        <f>'Translate&amp;Prices&amp;Logo'!$O$220</f>
        <v>Wybierz pozycję ramki</v>
      </c>
      <c r="X19" s="755"/>
      <c r="Y19" s="755"/>
      <c r="Z19" s="755"/>
      <c r="AA19" s="755"/>
      <c r="AB19" s="756">
        <f>IFERROR(VLOOKUP(Ram_1!$F$16,BI12:BJ23,2,0),0)</f>
        <v>0</v>
      </c>
      <c r="AC19" s="756"/>
      <c r="AD19" s="756"/>
      <c r="AE19" s="756"/>
      <c r="AF19" s="756"/>
      <c r="AG19" s="760" t="str">
        <f>'Translate&amp;Prices&amp;Logo'!$O$234</f>
        <v>Rodzaj drugiej ramki</v>
      </c>
      <c r="AH19" s="760"/>
      <c r="AI19" s="760"/>
      <c r="AJ19" s="756">
        <f>IFERROR(VLOOKUP(Ram_1!$N$16,BM12:BN41,2,0),0)</f>
        <v>0</v>
      </c>
      <c r="AK19" s="756"/>
      <c r="AL19" s="756"/>
      <c r="AM19" s="756"/>
      <c r="AN19" s="756"/>
      <c r="AO19" s="756"/>
      <c r="AR19" s="779"/>
      <c r="BD19" s="1" t="s">
        <v>221</v>
      </c>
      <c r="BE19" s="1" t="s">
        <v>221</v>
      </c>
      <c r="BI19" s="1" t="s">
        <v>1349</v>
      </c>
      <c r="BJ19" s="1" t="s">
        <v>215</v>
      </c>
      <c r="BM19" s="1" t="s">
        <v>193</v>
      </c>
      <c r="BN19" s="1" t="s">
        <v>253</v>
      </c>
      <c r="CA19" t="s">
        <v>1321</v>
      </c>
      <c r="CB19" t="s">
        <v>1321</v>
      </c>
      <c r="CK19" t="s">
        <v>1081</v>
      </c>
      <c r="CL19" t="s">
        <v>2537</v>
      </c>
    </row>
    <row r="20" spans="1:90" ht="16.350000000000001" customHeight="1">
      <c r="A20" s="784"/>
      <c r="B20" s="784"/>
      <c r="S20" s="752">
        <f>Ram_1!AR16</f>
        <v>0</v>
      </c>
      <c r="W20" s="755" t="str">
        <f>IF(AC15='Translate&amp;Prices&amp;Logo'!O553,'Translate&amp;Prices&amp;Logo'!O240,'Translate&amp;Prices&amp;Logo'!$O$228)</f>
        <v>Umieszczenie</v>
      </c>
      <c r="X20" s="755"/>
      <c r="Y20" s="755"/>
      <c r="Z20" s="755"/>
      <c r="AA20" s="755"/>
      <c r="AB20" s="481"/>
      <c r="AC20" s="778" t="str">
        <f>IFERROR((IF(Ram_1!H12='Translate&amp;Prices&amp;Logo'!B554,VLOOKUP(Ram_1!$N$16,BM42:BN71,2,0),VLOOKUP(Ram_1!$H$17,BM42:BN65,2,0))),"")</f>
        <v/>
      </c>
      <c r="AD20" s="778"/>
      <c r="AE20" s="778"/>
      <c r="AF20" s="778"/>
      <c r="AG20" s="778"/>
      <c r="AH20" s="778"/>
      <c r="AI20" s="778"/>
      <c r="AJ20" s="778"/>
      <c r="AK20" s="778"/>
      <c r="AL20" s="778"/>
      <c r="AM20" s="778"/>
      <c r="AN20" s="778"/>
      <c r="AO20" s="778"/>
      <c r="AR20" s="779"/>
      <c r="BD20" s="1" t="s">
        <v>1145</v>
      </c>
      <c r="BE20" s="1" t="s">
        <v>1145</v>
      </c>
      <c r="BI20" s="1" t="s">
        <v>214</v>
      </c>
      <c r="BJ20" s="1" t="s">
        <v>214</v>
      </c>
      <c r="BM20" s="1" t="s">
        <v>194</v>
      </c>
      <c r="BN20" s="1" t="s">
        <v>254</v>
      </c>
      <c r="CA20" t="s">
        <v>1322</v>
      </c>
      <c r="CB20" t="s">
        <v>1322</v>
      </c>
      <c r="CK20" t="s">
        <v>1061</v>
      </c>
      <c r="CL20" t="s">
        <v>1061</v>
      </c>
    </row>
    <row r="21" spans="1:90" ht="16.350000000000001" customHeight="1">
      <c r="A21" s="784"/>
      <c r="B21" s="784"/>
      <c r="S21" s="752">
        <f>Ram_1!AR17</f>
        <v>0</v>
      </c>
      <c r="W21" s="757" t="str">
        <f>IF(Ram_1!AU9=3,'Translate&amp;Prices&amp;Logo'!$O$549,"")</f>
        <v/>
      </c>
      <c r="X21" s="757"/>
      <c r="Y21" s="757"/>
      <c r="Z21" s="757"/>
      <c r="AA21" s="757"/>
      <c r="AB21" s="481"/>
      <c r="AC21" s="756">
        <f>IFERROR((VLOOKUP(Ram_1!$H$18,$CK$2:$CL$90,2,0)),Ram_1!$H$18)</f>
        <v>0</v>
      </c>
      <c r="AD21" s="756"/>
      <c r="AE21" s="756"/>
      <c r="AF21" s="756"/>
      <c r="AG21" s="756"/>
      <c r="AH21" s="756"/>
      <c r="AI21" s="756"/>
      <c r="AJ21" s="756"/>
      <c r="AK21" s="756"/>
      <c r="AL21" s="756"/>
      <c r="AM21" s="756"/>
      <c r="AN21" s="756"/>
      <c r="AO21" s="756"/>
      <c r="AR21" s="779"/>
      <c r="AV21" s="1">
        <f>Ram_1!$H$18</f>
        <v>0</v>
      </c>
      <c r="BD21" s="1" t="s">
        <v>284</v>
      </c>
      <c r="BE21" s="1" t="s">
        <v>220</v>
      </c>
      <c r="BI21" s="1" t="s">
        <v>215</v>
      </c>
      <c r="BJ21" s="1" t="s">
        <v>215</v>
      </c>
      <c r="BM21" s="1" t="s">
        <v>195</v>
      </c>
      <c r="BN21" s="1" t="s">
        <v>1306</v>
      </c>
      <c r="CA21" t="s">
        <v>1213</v>
      </c>
      <c r="CB21" t="s">
        <v>1320</v>
      </c>
      <c r="CK21" t="s">
        <v>1087</v>
      </c>
      <c r="CL21" t="s">
        <v>3215</v>
      </c>
    </row>
    <row r="22" spans="1:90" ht="16.350000000000001" customHeight="1">
      <c r="A22" s="784"/>
      <c r="B22" s="784"/>
      <c r="S22" s="752">
        <f>Ram_1!AR18</f>
        <v>0</v>
      </c>
      <c r="W22" s="755" t="str">
        <f>'Translate&amp;Prices&amp;Logo'!$O$225</f>
        <v>Ilość zawiasów na 1 ramkę</v>
      </c>
      <c r="X22" s="755"/>
      <c r="Y22" s="755"/>
      <c r="Z22" s="755"/>
      <c r="AA22" s="755"/>
      <c r="AB22" s="481"/>
      <c r="AC22" s="756">
        <f>Ram_1!$H$19</f>
        <v>0</v>
      </c>
      <c r="AD22" s="756"/>
      <c r="AE22" s="756"/>
      <c r="AF22" s="756"/>
      <c r="AG22" s="756"/>
      <c r="AH22" s="756"/>
      <c r="AI22" s="756"/>
      <c r="AJ22" s="756"/>
      <c r="AK22" s="756"/>
      <c r="AL22" s="756"/>
      <c r="AM22" s="756"/>
      <c r="AN22" s="756"/>
      <c r="AO22" s="756"/>
      <c r="AR22" s="779"/>
      <c r="BD22" s="1" t="s">
        <v>285</v>
      </c>
      <c r="BE22" s="1" t="s">
        <v>221</v>
      </c>
      <c r="BI22" s="318" t="s">
        <v>3768</v>
      </c>
      <c r="BJ22" s="1" t="s">
        <v>214</v>
      </c>
      <c r="BM22" s="1" t="s">
        <v>251</v>
      </c>
      <c r="BN22" s="1" t="s">
        <v>251</v>
      </c>
      <c r="CA22" t="s">
        <v>1295</v>
      </c>
      <c r="CB22" t="s">
        <v>1321</v>
      </c>
      <c r="CK22" t="s">
        <v>1088</v>
      </c>
      <c r="CL22" t="s">
        <v>2540</v>
      </c>
    </row>
    <row r="23" spans="1:90" ht="16.350000000000001" customHeight="1">
      <c r="A23" s="784"/>
      <c r="B23" s="784"/>
      <c r="S23" s="749" t="str">
        <f>'Translate&amp;Prices&amp;Logo'!$O$178</f>
        <v>Wysokość</v>
      </c>
      <c r="W23" s="755" t="str">
        <f>IFERROR(VLOOKUP(Ram_1!H17,kombinace_1!BY32:CD35,5,0),"")</f>
        <v/>
      </c>
      <c r="X23" s="755"/>
      <c r="Y23" s="755"/>
      <c r="Z23" s="755"/>
      <c r="AA23" s="755"/>
      <c r="AB23" s="756">
        <f>Ram_1!$F$20</f>
        <v>100</v>
      </c>
      <c r="AC23" s="756"/>
      <c r="AD23" s="756"/>
      <c r="AE23" s="756"/>
      <c r="AF23" s="756"/>
      <c r="AG23" s="755" t="str">
        <f>IFERROR(VLOOKUP(Ram_1!H17,kombinace_1!$BY$32:$CD$35,6,0),"")</f>
        <v/>
      </c>
      <c r="AH23" s="755"/>
      <c r="AI23" s="755"/>
      <c r="AJ23" s="755"/>
      <c r="AK23" s="755"/>
      <c r="AL23" s="756">
        <f>Ram_1!$N$20</f>
        <v>100</v>
      </c>
      <c r="AM23" s="756"/>
      <c r="AN23" s="756"/>
      <c r="AO23" s="756"/>
      <c r="AR23" s="779"/>
      <c r="BD23" s="1" t="s">
        <v>286</v>
      </c>
      <c r="BE23" s="1" t="s">
        <v>1145</v>
      </c>
      <c r="BI23" s="318" t="s">
        <v>3769</v>
      </c>
      <c r="BJ23" s="1" t="s">
        <v>215</v>
      </c>
      <c r="BM23" s="1" t="s">
        <v>252</v>
      </c>
      <c r="BN23" s="1" t="s">
        <v>252</v>
      </c>
      <c r="CA23" t="s">
        <v>1214</v>
      </c>
      <c r="CB23" t="s">
        <v>1322</v>
      </c>
      <c r="CK23" t="s">
        <v>1336</v>
      </c>
      <c r="CL23" t="s">
        <v>3075</v>
      </c>
    </row>
    <row r="24" spans="1:90" ht="16.350000000000001" customHeight="1">
      <c r="A24" s="784"/>
      <c r="B24" s="784"/>
      <c r="S24" s="749">
        <f>Ram_1!AR20</f>
        <v>0</v>
      </c>
      <c r="W24" s="755" t="str">
        <f>'Translate&amp;Prices&amp;Logo'!$O$655</f>
        <v>Wypełnienie z siatki</v>
      </c>
      <c r="X24" s="755"/>
      <c r="Y24" s="755"/>
      <c r="Z24" s="755"/>
      <c r="AA24" s="755"/>
      <c r="AB24" s="481"/>
      <c r="AC24" s="759" t="str">
        <f>IF(kombinace_1!FC2=TRUE,"Tak","Nie")</f>
        <v>Nie</v>
      </c>
      <c r="AD24" s="759"/>
      <c r="AE24" s="759"/>
      <c r="AF24" s="759"/>
      <c r="AG24" s="759"/>
      <c r="AH24" s="759"/>
      <c r="AI24" s="759"/>
      <c r="AJ24" s="759"/>
      <c r="AK24" s="759"/>
      <c r="AL24" s="759"/>
      <c r="AM24" s="759"/>
      <c r="AN24" s="759"/>
      <c r="AO24" s="759"/>
      <c r="AR24" s="779"/>
      <c r="BD24" s="1" t="s">
        <v>1595</v>
      </c>
      <c r="BE24" s="1" t="s">
        <v>220</v>
      </c>
      <c r="BM24" s="1" t="s">
        <v>253</v>
      </c>
      <c r="BN24" s="1" t="s">
        <v>253</v>
      </c>
      <c r="CA24" t="s">
        <v>1399</v>
      </c>
      <c r="CB24" t="s">
        <v>1320</v>
      </c>
      <c r="CK24" t="s">
        <v>1069</v>
      </c>
      <c r="CL24" t="s">
        <v>1069</v>
      </c>
    </row>
    <row r="25" spans="1:90" ht="16.350000000000001" customHeight="1">
      <c r="A25" s="784"/>
      <c r="B25" s="784"/>
      <c r="S25" s="749">
        <f>Ram_1!AR21</f>
        <v>0</v>
      </c>
      <c r="W25" s="755" t="str">
        <f>'Translate&amp;Prices&amp;Logo'!$O$175</f>
        <v>Rodzaj szkła</v>
      </c>
      <c r="X25" s="755"/>
      <c r="Y25" s="755"/>
      <c r="Z25" s="755"/>
      <c r="AA25" s="755"/>
      <c r="AB25" s="481"/>
      <c r="AC25" s="756" t="str">
        <f>IFERROR(VLOOKUP(kombinace_1!$V$1,BX12:BY14,2,0),0)</f>
        <v>Bez modyfikacji</v>
      </c>
      <c r="AD25" s="756"/>
      <c r="AE25" s="756"/>
      <c r="AF25" s="756"/>
      <c r="AG25" s="756"/>
      <c r="AH25" s="756"/>
      <c r="AI25" s="756"/>
      <c r="AJ25" s="756"/>
      <c r="AK25" s="756"/>
      <c r="AL25" s="756"/>
      <c r="AM25" s="756"/>
      <c r="AN25" s="756"/>
      <c r="AO25" s="756"/>
      <c r="AR25" s="779"/>
      <c r="BD25" s="1" t="s">
        <v>1452</v>
      </c>
      <c r="BE25" s="1" t="s">
        <v>221</v>
      </c>
      <c r="BM25" s="1" t="s">
        <v>254</v>
      </c>
      <c r="BN25" s="1" t="s">
        <v>254</v>
      </c>
      <c r="CA25" t="s">
        <v>1400</v>
      </c>
      <c r="CB25" t="s">
        <v>1321</v>
      </c>
      <c r="CK25" t="s">
        <v>1082</v>
      </c>
      <c r="CL25" t="s">
        <v>2976</v>
      </c>
    </row>
    <row r="26" spans="1:90" ht="16.350000000000001" customHeight="1">
      <c r="A26" s="784"/>
      <c r="B26" s="784"/>
      <c r="S26" s="749">
        <f>Ram_1!AR22</f>
        <v>0</v>
      </c>
      <c r="W26" s="755" t="str">
        <f>'Translate&amp;Prices&amp;Logo'!$O$564</f>
        <v>Rodzaj folii</v>
      </c>
      <c r="X26" s="755"/>
      <c r="Y26" s="755"/>
      <c r="Z26" s="755"/>
      <c r="AA26" s="755"/>
      <c r="AB26" s="481"/>
      <c r="AC26" s="756">
        <f>IFERROR(VLOOKUP(Ram_1!$H$24,CA12:CB29,2,0),0)</f>
        <v>0</v>
      </c>
      <c r="AD26" s="756"/>
      <c r="AE26" s="756"/>
      <c r="AF26" s="756"/>
      <c r="AG26" s="756"/>
      <c r="AH26" s="756"/>
      <c r="AI26" s="756"/>
      <c r="AJ26" s="756"/>
      <c r="AK26" s="756"/>
      <c r="AL26" s="756"/>
      <c r="AM26" s="756"/>
      <c r="AN26" s="756"/>
      <c r="AO26" s="756"/>
      <c r="AR26" s="779"/>
      <c r="BD26" s="1" t="s">
        <v>905</v>
      </c>
      <c r="BE26" s="1" t="s">
        <v>1145</v>
      </c>
      <c r="BM26" s="1" t="s">
        <v>1306</v>
      </c>
      <c r="BN26" s="1" t="s">
        <v>1306</v>
      </c>
      <c r="CA26" t="s">
        <v>1401</v>
      </c>
      <c r="CB26" t="s">
        <v>1322</v>
      </c>
      <c r="CK26" t="s">
        <v>1337</v>
      </c>
      <c r="CL26" t="s">
        <v>3076</v>
      </c>
    </row>
    <row r="27" spans="1:90" ht="16.350000000000001" customHeight="1" thickBot="1">
      <c r="A27" s="784"/>
      <c r="B27" s="784"/>
      <c r="S27" s="750">
        <f>Ram_1!AR23</f>
        <v>0</v>
      </c>
      <c r="W27" s="755" t="str">
        <f>'Translate&amp;Prices&amp;Logo'!$O$175</f>
        <v>Rodzaj szkła</v>
      </c>
      <c r="X27" s="755"/>
      <c r="Y27" s="755"/>
      <c r="Z27" s="755"/>
      <c r="AA27" s="755"/>
      <c r="AB27" s="481"/>
      <c r="AC27" s="756">
        <f>IFERROR(VLOOKUP(Ram_1!$H$25,'Translate&amp;Prices&amp;Logo'!$AH$1:$AI$167,2,0),Ram_1!$H$25)</f>
        <v>0</v>
      </c>
      <c r="AD27" s="756"/>
      <c r="AE27" s="756"/>
      <c r="AF27" s="756"/>
      <c r="AG27" s="756"/>
      <c r="AH27" s="756"/>
      <c r="AI27" s="756"/>
      <c r="AJ27" s="756"/>
      <c r="AK27" s="756"/>
      <c r="AL27" s="756"/>
      <c r="AM27" s="756"/>
      <c r="AN27" s="756"/>
      <c r="AO27" s="756"/>
      <c r="AR27" s="779"/>
      <c r="BD27" s="318" t="s">
        <v>3774</v>
      </c>
      <c r="BE27" s="1" t="s">
        <v>220</v>
      </c>
      <c r="BM27" s="1" t="s">
        <v>313</v>
      </c>
      <c r="BN27" s="1" t="s">
        <v>251</v>
      </c>
      <c r="CA27" s="318" t="s">
        <v>1399</v>
      </c>
      <c r="CB27" t="s">
        <v>1320</v>
      </c>
      <c r="CK27" t="s">
        <v>1340</v>
      </c>
      <c r="CL27" t="s">
        <v>3077</v>
      </c>
    </row>
    <row r="28" spans="1:90" ht="16.350000000000001" customHeight="1">
      <c r="A28" s="784"/>
      <c r="B28" s="784"/>
      <c r="W28" s="755" t="str">
        <f>'Translate&amp;Prices&amp;Logo'!$O$551</f>
        <v>Rozstaw uchwytu (mm)</v>
      </c>
      <c r="X28" s="755"/>
      <c r="Y28" s="755"/>
      <c r="Z28" s="755"/>
      <c r="AA28" s="755"/>
      <c r="AB28" s="481"/>
      <c r="AC28" s="756">
        <f>Ram_1!$H$26</f>
        <v>0</v>
      </c>
      <c r="AD28" s="756"/>
      <c r="AE28" s="756"/>
      <c r="AF28" s="756"/>
      <c r="AG28" s="756"/>
      <c r="AH28" s="756"/>
      <c r="AI28" s="756"/>
      <c r="AJ28" s="756"/>
      <c r="AK28" s="756"/>
      <c r="AL28" s="756"/>
      <c r="AM28" s="756"/>
      <c r="AN28" s="756"/>
      <c r="AO28" s="756"/>
      <c r="AR28" s="779"/>
      <c r="BD28" s="318" t="s">
        <v>3775</v>
      </c>
      <c r="BE28" s="1" t="s">
        <v>221</v>
      </c>
      <c r="BM28" s="1" t="s">
        <v>314</v>
      </c>
      <c r="BN28" s="1" t="s">
        <v>252</v>
      </c>
      <c r="CA28" s="318" t="s">
        <v>3976</v>
      </c>
      <c r="CB28" t="s">
        <v>1321</v>
      </c>
      <c r="CK28" t="s">
        <v>1083</v>
      </c>
      <c r="CL28" t="s">
        <v>2977</v>
      </c>
    </row>
    <row r="29" spans="1:90" ht="16.350000000000001" customHeight="1">
      <c r="A29" s="784"/>
      <c r="B29" s="784"/>
      <c r="W29" s="755" t="str">
        <f>'Translate&amp;Prices&amp;Logo'!$O$552</f>
        <v>Umieszczenie uchwytu</v>
      </c>
      <c r="X29" s="755"/>
      <c r="Y29" s="755"/>
      <c r="Z29" s="755"/>
      <c r="AA29" s="755"/>
      <c r="AB29" s="481"/>
      <c r="AC29" s="756">
        <f>IFERROR(VLOOKUP(Ram_1!$H$27,BM42:BN65,2,0),0)</f>
        <v>0</v>
      </c>
      <c r="AD29" s="756"/>
      <c r="AE29" s="756"/>
      <c r="AF29" s="756"/>
      <c r="AG29" s="756"/>
      <c r="AH29" s="756"/>
      <c r="AI29" s="756"/>
      <c r="AJ29" s="756"/>
      <c r="AK29" s="756"/>
      <c r="AL29" s="756"/>
      <c r="AM29" s="756"/>
      <c r="AN29" s="756"/>
      <c r="AO29" s="756"/>
      <c r="AR29" s="779"/>
      <c r="BD29" s="318" t="s">
        <v>3776</v>
      </c>
      <c r="BE29" s="1" t="s">
        <v>1145</v>
      </c>
      <c r="BM29" s="1" t="s">
        <v>315</v>
      </c>
      <c r="BN29" s="1" t="s">
        <v>253</v>
      </c>
      <c r="CA29" s="318" t="s">
        <v>3977</v>
      </c>
      <c r="CB29" t="s">
        <v>1322</v>
      </c>
      <c r="CK29" t="s">
        <v>1089</v>
      </c>
      <c r="CL29" t="s">
        <v>2978</v>
      </c>
    </row>
    <row r="30" spans="1:90" ht="16.350000000000001" customHeight="1">
      <c r="A30" s="784"/>
      <c r="B30" s="784"/>
      <c r="W30" s="755" t="str">
        <f>('Translate&amp;Prices&amp;Logo'!$O$176)&amp;" "&amp;"-"&amp;" "&amp;('Translate&amp;Prices&amp;Logo'!$O$171)&amp;" "&amp;" "&amp;1</f>
        <v>Ilość sztuk - Ramka  1</v>
      </c>
      <c r="X30" s="755"/>
      <c r="Y30" s="755"/>
      <c r="Z30" s="755"/>
      <c r="AA30" s="755"/>
      <c r="AB30" s="481"/>
      <c r="AC30" s="756">
        <f>Ram_1!$H$28</f>
        <v>0</v>
      </c>
      <c r="AD30" s="756"/>
      <c r="AE30" s="756"/>
      <c r="AF30" s="756"/>
      <c r="AG30" s="756"/>
      <c r="AH30" s="756"/>
      <c r="AI30" s="756"/>
      <c r="AJ30" s="756"/>
      <c r="AK30" s="756"/>
      <c r="AL30" s="756"/>
      <c r="AM30" s="756"/>
      <c r="AN30" s="756"/>
      <c r="AO30" s="756"/>
      <c r="AR30" s="779"/>
      <c r="BM30" s="1" t="s">
        <v>316</v>
      </c>
      <c r="BN30" s="1" t="s">
        <v>254</v>
      </c>
      <c r="CK30" s="240" t="s">
        <v>2979</v>
      </c>
      <c r="CL30" t="s">
        <v>4274</v>
      </c>
    </row>
    <row r="31" spans="1:90" ht="16.350000000000001" customHeight="1">
      <c r="A31" s="784"/>
      <c r="B31" s="784"/>
      <c r="AE31" s="1"/>
      <c r="AF31" s="1"/>
      <c r="AR31" s="779"/>
      <c r="BM31" s="1" t="s">
        <v>1254</v>
      </c>
      <c r="BN31" s="1" t="s">
        <v>1306</v>
      </c>
      <c r="CK31" s="240" t="s">
        <v>2980</v>
      </c>
      <c r="CL31" t="s">
        <v>4275</v>
      </c>
    </row>
    <row r="32" spans="1:90" ht="14.85" customHeight="1">
      <c r="A32" s="784"/>
      <c r="B32" s="784"/>
      <c r="AR32" s="779"/>
      <c r="BM32" s="1" t="s">
        <v>1356</v>
      </c>
      <c r="BN32" s="1" t="s">
        <v>251</v>
      </c>
      <c r="BS32" s="318"/>
      <c r="CK32" s="240" t="s">
        <v>2981</v>
      </c>
      <c r="CL32" t="s">
        <v>3073</v>
      </c>
    </row>
    <row r="33" spans="1:90" ht="14.85" customHeight="1">
      <c r="W33" s="767" t="s">
        <v>1604</v>
      </c>
      <c r="X33" s="767"/>
      <c r="Y33" s="767"/>
      <c r="Z33" s="767"/>
      <c r="AE33" s="767" t="s">
        <v>1605</v>
      </c>
      <c r="AF33" s="767"/>
      <c r="AG33" s="767"/>
      <c r="AH33" s="767"/>
      <c r="AR33" s="779"/>
      <c r="BM33" s="1" t="s">
        <v>1357</v>
      </c>
      <c r="BN33" s="1" t="s">
        <v>252</v>
      </c>
      <c r="BS33" s="318"/>
      <c r="CK33" s="240" t="s">
        <v>2982</v>
      </c>
      <c r="CL33" t="s">
        <v>3074</v>
      </c>
    </row>
    <row r="34" spans="1:90" ht="14.85" customHeight="1">
      <c r="AE34" s="768"/>
      <c r="AF34" s="769"/>
      <c r="AG34" s="769"/>
      <c r="AH34" s="769"/>
      <c r="AI34" s="769"/>
      <c r="AJ34" s="769"/>
      <c r="AK34" s="769"/>
      <c r="AL34" s="769"/>
      <c r="AM34" s="769"/>
      <c r="AN34" s="770"/>
      <c r="AR34" s="779"/>
      <c r="BM34" s="1" t="s">
        <v>1480</v>
      </c>
      <c r="BN34" s="1" t="s">
        <v>253</v>
      </c>
      <c r="BS34" s="318"/>
      <c r="CK34" s="240" t="s">
        <v>2983</v>
      </c>
      <c r="CL34" t="s">
        <v>3075</v>
      </c>
    </row>
    <row r="35" spans="1:90" ht="14.85" customHeight="1">
      <c r="AE35" s="771"/>
      <c r="AF35" s="772"/>
      <c r="AG35" s="772"/>
      <c r="AH35" s="772"/>
      <c r="AI35" s="772"/>
      <c r="AJ35" s="772"/>
      <c r="AK35" s="772"/>
      <c r="AL35" s="772"/>
      <c r="AM35" s="772"/>
      <c r="AN35" s="773"/>
      <c r="AR35" s="779"/>
      <c r="BM35" s="1" t="s">
        <v>1481</v>
      </c>
      <c r="BN35" s="1" t="s">
        <v>254</v>
      </c>
      <c r="BS35" s="318"/>
      <c r="CK35" s="240" t="s">
        <v>2984</v>
      </c>
      <c r="CL35" t="s">
        <v>3076</v>
      </c>
    </row>
    <row r="36" spans="1:90" ht="14.85" customHeight="1">
      <c r="AE36" s="771"/>
      <c r="AF36" s="772"/>
      <c r="AG36" s="772"/>
      <c r="AH36" s="772"/>
      <c r="AI36" s="772"/>
      <c r="AJ36" s="772"/>
      <c r="AK36" s="772"/>
      <c r="AL36" s="772"/>
      <c r="AM36" s="772"/>
      <c r="AN36" s="773"/>
      <c r="AR36" s="779"/>
      <c r="BM36" s="1" t="s">
        <v>965</v>
      </c>
      <c r="BN36" s="1" t="s">
        <v>1306</v>
      </c>
      <c r="BS36" s="175"/>
      <c r="BT36" s="133"/>
      <c r="CK36" s="240" t="s">
        <v>2985</v>
      </c>
      <c r="CL36" t="s">
        <v>3077</v>
      </c>
    </row>
    <row r="37" spans="1:90" ht="14.85" customHeight="1">
      <c r="D37" s="766">
        <f>IF(OR(Ram_1!$AC$25="x",Ram_1!$AJ$26="x",Ram_1!$AC$9="x",Ram_1!$AJ$7="x",Ram_1!$AB$16="x",Ram_1!$AM$23="x",Ram_1!$AN$19="x",Ram_1!$AD$10="x"),'Translate&amp;Prices&amp;Logo'!$B$590,0)</f>
        <v>0</v>
      </c>
      <c r="E37" s="766"/>
      <c r="F37" s="766"/>
      <c r="G37" s="766"/>
      <c r="H37" s="766"/>
      <c r="I37" s="766"/>
      <c r="J37" s="766"/>
      <c r="K37" s="766"/>
      <c r="L37" s="766"/>
      <c r="M37" s="766"/>
      <c r="N37" s="766"/>
      <c r="O37" s="766"/>
      <c r="P37" s="766"/>
      <c r="AE37" s="771"/>
      <c r="AF37" s="772"/>
      <c r="AG37" s="772"/>
      <c r="AH37" s="772"/>
      <c r="AI37" s="772"/>
      <c r="AJ37" s="772"/>
      <c r="AK37" s="772"/>
      <c r="AL37" s="772"/>
      <c r="AM37" s="772"/>
      <c r="AN37" s="773"/>
      <c r="AR37" s="779"/>
      <c r="BM37" s="318" t="s">
        <v>3814</v>
      </c>
      <c r="BN37" s="1" t="s">
        <v>251</v>
      </c>
      <c r="BS37" s="133"/>
      <c r="BT37" s="133"/>
      <c r="CK37" s="241" t="s">
        <v>2986</v>
      </c>
      <c r="CL37" t="s">
        <v>4274</v>
      </c>
    </row>
    <row r="38" spans="1:90" ht="14.85" customHeight="1">
      <c r="AE38" s="771"/>
      <c r="AF38" s="772"/>
      <c r="AG38" s="772"/>
      <c r="AH38" s="772"/>
      <c r="AI38" s="772"/>
      <c r="AJ38" s="772"/>
      <c r="AK38" s="772"/>
      <c r="AL38" s="772"/>
      <c r="AM38" s="772"/>
      <c r="AN38" s="773"/>
      <c r="AR38" s="779"/>
      <c r="BM38" s="318" t="s">
        <v>3815</v>
      </c>
      <c r="BN38" s="1" t="s">
        <v>252</v>
      </c>
      <c r="BS38" s="133"/>
      <c r="BT38" s="133"/>
      <c r="CK38" s="241" t="s">
        <v>2545</v>
      </c>
      <c r="CL38" t="s">
        <v>4275</v>
      </c>
    </row>
    <row r="39" spans="1:90" ht="14.85" customHeight="1" thickBot="1">
      <c r="AE39" s="771"/>
      <c r="AF39" s="772"/>
      <c r="AG39" s="772"/>
      <c r="AH39" s="772"/>
      <c r="AI39" s="772"/>
      <c r="AJ39" s="772"/>
      <c r="AK39" s="772"/>
      <c r="AL39" s="772"/>
      <c r="AM39" s="772"/>
      <c r="AN39" s="773"/>
      <c r="AR39" s="779"/>
      <c r="BM39" s="318" t="s">
        <v>3816</v>
      </c>
      <c r="BN39" s="1" t="s">
        <v>253</v>
      </c>
      <c r="BS39" s="133"/>
      <c r="BT39" s="133"/>
      <c r="CK39" s="241" t="s">
        <v>2541</v>
      </c>
      <c r="CL39" t="s">
        <v>3073</v>
      </c>
    </row>
    <row r="40" spans="1:90" ht="14.85" customHeight="1" thickBot="1">
      <c r="G40" s="745" t="str">
        <f>'Translate&amp;Prices&amp;Logo'!$O$177</f>
        <v>Szerokość</v>
      </c>
      <c r="H40" s="746">
        <f>Ram_1!AG30</f>
        <v>0</v>
      </c>
      <c r="I40" s="746">
        <f>Ram_1!AH30</f>
        <v>0</v>
      </c>
      <c r="J40" s="747">
        <f>Ram_1!AI30</f>
        <v>0</v>
      </c>
      <c r="K40" s="747">
        <f>Ram_1!AJ30</f>
        <v>0</v>
      </c>
      <c r="L40" s="748">
        <f>Ram_1!AK30</f>
        <v>0</v>
      </c>
      <c r="AE40" s="771"/>
      <c r="AF40" s="772"/>
      <c r="AG40" s="772"/>
      <c r="AH40" s="772"/>
      <c r="AI40" s="772"/>
      <c r="AJ40" s="772"/>
      <c r="AK40" s="772"/>
      <c r="AL40" s="772"/>
      <c r="AM40" s="772"/>
      <c r="AN40" s="773"/>
      <c r="AR40" s="779"/>
      <c r="BM40" s="318" t="s">
        <v>3817</v>
      </c>
      <c r="BN40" s="1" t="s">
        <v>254</v>
      </c>
      <c r="CK40" s="241" t="s">
        <v>2544</v>
      </c>
      <c r="CL40" t="s">
        <v>3074</v>
      </c>
    </row>
    <row r="41" spans="1:90" ht="21" customHeight="1">
      <c r="AE41" s="774"/>
      <c r="AF41" s="775"/>
      <c r="AG41" s="775"/>
      <c r="AH41" s="775"/>
      <c r="AI41" s="775"/>
      <c r="AJ41" s="775"/>
      <c r="AK41" s="775"/>
      <c r="AL41" s="775"/>
      <c r="AM41" s="775"/>
      <c r="AN41" s="776"/>
      <c r="AR41" s="779"/>
      <c r="BM41" s="318" t="s">
        <v>3818</v>
      </c>
      <c r="BN41" s="1" t="s">
        <v>1306</v>
      </c>
      <c r="CK41" s="241" t="s">
        <v>2542</v>
      </c>
      <c r="CL41" t="s">
        <v>3075</v>
      </c>
    </row>
    <row r="42" spans="1:90" ht="14.85" customHeight="1">
      <c r="AR42" s="779"/>
      <c r="BM42" s="1" t="s">
        <v>111</v>
      </c>
      <c r="BN42" s="1" t="s">
        <v>1132</v>
      </c>
      <c r="CK42" s="241" t="s">
        <v>2543</v>
      </c>
      <c r="CL42" t="s">
        <v>3076</v>
      </c>
    </row>
    <row r="43" spans="1:90" ht="14.85" customHeight="1">
      <c r="AR43" s="779"/>
      <c r="BM43" s="1" t="s">
        <v>112</v>
      </c>
      <c r="BN43" s="1" t="s">
        <v>1305</v>
      </c>
      <c r="CK43" s="241" t="s">
        <v>2546</v>
      </c>
      <c r="CL43" t="s">
        <v>3077</v>
      </c>
    </row>
    <row r="44" spans="1:90" ht="14.85" customHeight="1" thickBo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24"/>
      <c r="AF44" s="125"/>
      <c r="AG44" s="18"/>
      <c r="AH44" s="18"/>
      <c r="AI44" s="18"/>
      <c r="AJ44" s="18"/>
      <c r="AK44" s="18"/>
      <c r="AL44" s="18"/>
      <c r="AM44" s="18"/>
      <c r="AN44" s="18"/>
      <c r="AO44" s="18"/>
      <c r="AP44" s="18"/>
      <c r="AQ44" s="18"/>
      <c r="AR44" s="18"/>
      <c r="BM44" s="1" t="s">
        <v>102</v>
      </c>
      <c r="BN44" s="1" t="s">
        <v>248</v>
      </c>
      <c r="CK44" s="242" t="s">
        <v>2987</v>
      </c>
      <c r="CL44" t="s">
        <v>4274</v>
      </c>
    </row>
    <row r="45" spans="1:90" ht="35.1" customHeight="1" thickBot="1">
      <c r="J45" s="121"/>
      <c r="K45" s="121"/>
      <c r="L45" s="121"/>
      <c r="M45" s="121"/>
      <c r="N45" s="121"/>
      <c r="O45" s="121"/>
      <c r="P45" s="121"/>
      <c r="Q45" s="121"/>
      <c r="R45" s="121"/>
      <c r="S45" s="121"/>
      <c r="T45" s="121"/>
      <c r="U45" s="121"/>
      <c r="V45" s="121"/>
      <c r="W45" s="765" t="str">
        <f>'Translate&amp;Prices&amp;Logo'!$O$258</f>
        <v>Numer zamówienia</v>
      </c>
      <c r="X45" s="765"/>
      <c r="Y45" s="765"/>
      <c r="Z45" s="765"/>
      <c r="AA45" s="765"/>
      <c r="AB45" s="56"/>
      <c r="AC45" s="762">
        <f>Ram_2!AS5</f>
        <v>0</v>
      </c>
      <c r="AD45" s="763"/>
      <c r="AE45" s="763"/>
      <c r="AF45" s="763"/>
      <c r="AG45" s="763"/>
      <c r="AH45" s="763"/>
      <c r="AI45" s="763"/>
      <c r="AJ45" s="763"/>
      <c r="AK45" s="763"/>
      <c r="AL45" s="763"/>
      <c r="AM45" s="763"/>
      <c r="AN45" s="763"/>
      <c r="AO45" s="764"/>
      <c r="AR45" s="779" t="s">
        <v>1607</v>
      </c>
      <c r="BM45" s="1" t="s">
        <v>101</v>
      </c>
      <c r="BN45" s="1" t="s">
        <v>249</v>
      </c>
      <c r="CK45" s="242" t="s">
        <v>2988</v>
      </c>
      <c r="CL45" t="s">
        <v>4275</v>
      </c>
    </row>
    <row r="46" spans="1:90" ht="16.350000000000001" customHeight="1">
      <c r="W46" s="755" t="str">
        <f>'Translate&amp;Prices&amp;Logo'!$O$544</f>
        <v>Połączenie 2 profili</v>
      </c>
      <c r="X46" s="755"/>
      <c r="Y46" s="755"/>
      <c r="Z46" s="755"/>
      <c r="AA46" s="755"/>
      <c r="AB46" s="481"/>
      <c r="AC46" s="780" t="str">
        <f>IF(kombinace_2!$H$1=TRUE,"Tak","Nie")</f>
        <v>Nie</v>
      </c>
      <c r="AD46" s="780"/>
      <c r="AE46" s="780"/>
      <c r="AF46" s="780"/>
      <c r="AG46" s="780"/>
      <c r="AH46" s="780"/>
      <c r="AI46" s="780"/>
      <c r="AJ46" s="780"/>
      <c r="AK46" s="780"/>
      <c r="AL46" s="780"/>
      <c r="AM46" s="780"/>
      <c r="AN46" s="780"/>
      <c r="AO46" s="780"/>
      <c r="AR46" s="779"/>
      <c r="BM46" s="1" t="s">
        <v>1134</v>
      </c>
      <c r="BN46" s="1" t="s">
        <v>1132</v>
      </c>
      <c r="CK46" s="242" t="s">
        <v>2989</v>
      </c>
      <c r="CL46" t="s">
        <v>2535</v>
      </c>
    </row>
    <row r="47" spans="1:90" ht="16.350000000000001" customHeight="1">
      <c r="W47" s="755" t="str">
        <f>'Translate&amp;Prices&amp;Logo'!$O$174</f>
        <v>Rodzaj profilu</v>
      </c>
      <c r="X47" s="755"/>
      <c r="Y47" s="755"/>
      <c r="Z47" s="755"/>
      <c r="AA47" s="755"/>
      <c r="AB47" s="481"/>
      <c r="AC47" s="756">
        <f>IFERROR(VLOOKUP(Ram_2!$H$8,'Translate&amp;Prices&amp;Logo'!$AA$1:$AB$456,2,0),Ram_2!$H$8)</f>
        <v>0</v>
      </c>
      <c r="AD47" s="756"/>
      <c r="AE47" s="756"/>
      <c r="AF47" s="756"/>
      <c r="AG47" s="756"/>
      <c r="AH47" s="756"/>
      <c r="AI47" s="756"/>
      <c r="AJ47" s="756"/>
      <c r="AK47" s="756"/>
      <c r="AL47" s="756"/>
      <c r="AM47" s="756"/>
      <c r="AN47" s="756"/>
      <c r="AO47" s="756"/>
      <c r="AR47" s="779"/>
      <c r="BM47" s="1" t="s">
        <v>112</v>
      </c>
      <c r="BN47" s="1" t="s">
        <v>1305</v>
      </c>
      <c r="CK47" s="242" t="s">
        <v>2990</v>
      </c>
      <c r="CL47" t="s">
        <v>2538</v>
      </c>
    </row>
    <row r="48" spans="1:90" ht="16.350000000000001" customHeight="1">
      <c r="W48" s="755" t="str">
        <f>'Translate&amp;Prices&amp;Logo'!$O$545</f>
        <v>Szprosy</v>
      </c>
      <c r="X48" s="755"/>
      <c r="Y48" s="755"/>
      <c r="Z48" s="755"/>
      <c r="AA48" s="755"/>
      <c r="AB48" s="481"/>
      <c r="AC48" s="756" t="str">
        <f>IFERROR(VLOOKUP(Ram_2!$AU$10,AU48:AV51,2,0),0)</f>
        <v>Nie</v>
      </c>
      <c r="AD48" s="756"/>
      <c r="AE48" s="756"/>
      <c r="AF48" s="756"/>
      <c r="AG48" s="756"/>
      <c r="AH48" s="756"/>
      <c r="AI48" s="756"/>
      <c r="AJ48" s="756"/>
      <c r="AK48" s="756"/>
      <c r="AL48" s="756"/>
      <c r="AM48" s="756"/>
      <c r="AN48" s="756"/>
      <c r="AO48" s="756"/>
      <c r="AR48" s="779"/>
      <c r="AU48">
        <v>0</v>
      </c>
      <c r="AV48" t="str">
        <f>'Translate&amp;Prices&amp;Logo'!$O$559</f>
        <v>Nie</v>
      </c>
      <c r="AZ48">
        <v>2</v>
      </c>
      <c r="BA48" t="str">
        <f>'Translate&amp;Prices&amp;Logo'!$O$553</f>
        <v>Zawiasy</v>
      </c>
      <c r="BM48" s="1" t="s">
        <v>187</v>
      </c>
      <c r="BN48" s="1" t="s">
        <v>248</v>
      </c>
      <c r="BX48" s="1">
        <v>1</v>
      </c>
      <c r="BY48" s="1" t="str">
        <f>'Translate&amp;Prices&amp;Logo'!$O$102</f>
        <v>Bez modyfikacji</v>
      </c>
      <c r="CA48"/>
      <c r="CB48"/>
      <c r="CK48" s="242" t="s">
        <v>2991</v>
      </c>
      <c r="CL48" t="s">
        <v>3073</v>
      </c>
    </row>
    <row r="49" spans="19:90" ht="16.350000000000001" customHeight="1">
      <c r="W49" s="126"/>
      <c r="X49" s="126"/>
      <c r="Y49" s="126"/>
      <c r="Z49" s="126"/>
      <c r="AA49" s="126"/>
      <c r="AB49" s="481"/>
      <c r="AC49" s="777" t="str">
        <f>'Translate&amp;Prices&amp;Logo'!$O$560</f>
        <v>Poziomo (termin dostawy 4 tygodnie)</v>
      </c>
      <c r="AD49" s="777"/>
      <c r="AE49" s="777"/>
      <c r="AF49" s="777"/>
      <c r="AG49" s="777"/>
      <c r="AH49" s="777"/>
      <c r="AI49" s="777"/>
      <c r="AJ49" s="777" t="str">
        <f>'Translate&amp;Prices&amp;Logo'!$O$561</f>
        <v>Pionowo (termin dostawy 4 tygodnie)</v>
      </c>
      <c r="AK49" s="777"/>
      <c r="AL49" s="777"/>
      <c r="AM49" s="777"/>
      <c r="AN49" s="777"/>
      <c r="AO49" s="777"/>
      <c r="AR49" s="779"/>
      <c r="AU49">
        <v>1</v>
      </c>
      <c r="AV49" t="str">
        <f>'Translate&amp;Prices&amp;Logo'!$O$560</f>
        <v>Poziomo (termin dostawy 4 tygodnie)</v>
      </c>
      <c r="AZ49">
        <v>3</v>
      </c>
      <c r="BA49" t="str">
        <f>'Translate&amp;Prices&amp;Logo'!$O$554</f>
        <v>Podnośniki</v>
      </c>
      <c r="BM49" s="1" t="s">
        <v>188</v>
      </c>
      <c r="BN49" s="1" t="s">
        <v>249</v>
      </c>
      <c r="BX49" s="1">
        <v>2</v>
      </c>
      <c r="BY49" s="1" t="str">
        <f>'Translate&amp;Prices&amp;Logo'!$O$103</f>
        <v>Hartowane</v>
      </c>
      <c r="CA49"/>
      <c r="CB49"/>
      <c r="CK49" s="242" t="s">
        <v>2992</v>
      </c>
      <c r="CL49" t="s">
        <v>3074</v>
      </c>
    </row>
    <row r="50" spans="19:90" ht="16.350000000000001" customHeight="1">
      <c r="W50" s="755" t="str">
        <f>('Translate&amp;Prices&amp;Logo'!$O$545)&amp;" "&amp;"("&amp;'Translate&amp;Prices&amp;Logo'!$O$176&amp;")"</f>
        <v>Szprosy (Ilość sztuk)</v>
      </c>
      <c r="X50" s="755"/>
      <c r="Y50" s="755"/>
      <c r="Z50" s="755"/>
      <c r="AA50" s="755"/>
      <c r="AB50" s="481"/>
      <c r="AC50" s="756">
        <f>Ram_2!$H$11</f>
        <v>0</v>
      </c>
      <c r="AD50" s="756"/>
      <c r="AE50" s="756"/>
      <c r="AF50" s="756"/>
      <c r="AG50" s="756"/>
      <c r="AH50" s="756"/>
      <c r="AI50" s="756"/>
      <c r="AJ50" s="756">
        <f>Ram_2!$M$11</f>
        <v>0</v>
      </c>
      <c r="AK50" s="756"/>
      <c r="AL50" s="756"/>
      <c r="AM50" s="756"/>
      <c r="AN50" s="756"/>
      <c r="AO50" s="756"/>
      <c r="AR50" s="779"/>
      <c r="AU50">
        <v>2</v>
      </c>
      <c r="AV50" t="str">
        <f>'Translate&amp;Prices&amp;Logo'!$O$561</f>
        <v>Pionowo (termin dostawy 4 tygodnie)</v>
      </c>
      <c r="BM50" s="1" t="s">
        <v>1132</v>
      </c>
      <c r="BN50" s="1" t="s">
        <v>1132</v>
      </c>
      <c r="BX50" s="1">
        <v>3</v>
      </c>
      <c r="BY50" s="1" t="str">
        <f>'Translate&amp;Prices&amp;Logo'!$O$104</f>
        <v>Folia</v>
      </c>
      <c r="CA50"/>
      <c r="CB50"/>
      <c r="CK50" s="242" t="s">
        <v>2993</v>
      </c>
      <c r="CL50" t="s">
        <v>2973</v>
      </c>
    </row>
    <row r="51" spans="19:90" ht="16.350000000000001" customHeight="1">
      <c r="W51" s="755" t="str">
        <f>'Translate&amp;Prices&amp;Logo'!$O$260</f>
        <v>Typ okucia</v>
      </c>
      <c r="X51" s="755"/>
      <c r="Y51" s="755"/>
      <c r="Z51" s="755"/>
      <c r="AA51" s="755"/>
      <c r="AB51" s="481"/>
      <c r="AC51" s="756">
        <f>IFERROR(VLOOKUP(Ram_2!$AU$9,AZ48:BA49,2,0),0)</f>
        <v>0</v>
      </c>
      <c r="AD51" s="756"/>
      <c r="AE51" s="756"/>
      <c r="AF51" s="756"/>
      <c r="AG51" s="756"/>
      <c r="AH51" s="756"/>
      <c r="AI51" s="756"/>
      <c r="AJ51" s="756"/>
      <c r="AK51" s="756"/>
      <c r="AL51" s="756"/>
      <c r="AM51" s="756"/>
      <c r="AN51" s="756"/>
      <c r="AO51" s="756"/>
      <c r="AR51" s="779"/>
      <c r="AU51">
        <v>3</v>
      </c>
      <c r="AV51" t="str">
        <f>'Translate&amp;Prices&amp;Logo'!$O$562</f>
        <v>Poziomo i pionowo (termin dostawy 4 tygodnie)</v>
      </c>
      <c r="BM51" s="1" t="s">
        <v>1305</v>
      </c>
      <c r="BN51" s="1" t="s">
        <v>1305</v>
      </c>
      <c r="CA51"/>
      <c r="CB51"/>
      <c r="CK51" s="242" t="s">
        <v>2994</v>
      </c>
      <c r="CL51" t="s">
        <v>2974</v>
      </c>
    </row>
    <row r="52" spans="19:90" ht="16.350000000000001" customHeight="1">
      <c r="W52" s="755" t="str">
        <f>'Translate&amp;Prices&amp;Logo'!$O$546</f>
        <v>Marka okucia</v>
      </c>
      <c r="X52" s="755"/>
      <c r="Y52" s="755"/>
      <c r="Z52" s="755"/>
      <c r="AA52" s="755"/>
      <c r="AB52" s="481"/>
      <c r="AC52" s="756">
        <f>Ram_2!$H$13</f>
        <v>0</v>
      </c>
      <c r="AD52" s="756"/>
      <c r="AE52" s="756"/>
      <c r="AF52" s="756"/>
      <c r="AG52" s="756"/>
      <c r="AH52" s="756"/>
      <c r="AI52" s="756"/>
      <c r="AJ52" s="756"/>
      <c r="AK52" s="756"/>
      <c r="AL52" s="756"/>
      <c r="AM52" s="756"/>
      <c r="AN52" s="756"/>
      <c r="AO52" s="756"/>
      <c r="AR52" s="779"/>
      <c r="BM52" s="1" t="s">
        <v>248</v>
      </c>
      <c r="BN52" s="1" t="s">
        <v>248</v>
      </c>
      <c r="CA52"/>
      <c r="CB52"/>
      <c r="CK52" s="242" t="s">
        <v>2995</v>
      </c>
      <c r="CL52" t="s">
        <v>3213</v>
      </c>
    </row>
    <row r="53" spans="19:90" ht="16.350000000000001" customHeight="1" thickBot="1">
      <c r="W53" s="755" t="str">
        <f>'Translate&amp;Prices&amp;Logo'!$O$548</f>
        <v>Nałożenie</v>
      </c>
      <c r="X53" s="755"/>
      <c r="Y53" s="755"/>
      <c r="Z53" s="755"/>
      <c r="AA53" s="755"/>
      <c r="AB53" s="481"/>
      <c r="AC53" s="756">
        <f>IFERROR(VLOOKUP(Ram_2!$H$14,$BD$12:$BE$29,2,0),0)</f>
        <v>0</v>
      </c>
      <c r="AD53" s="756"/>
      <c r="AE53" s="756"/>
      <c r="AF53" s="756"/>
      <c r="AG53" s="756"/>
      <c r="AH53" s="756"/>
      <c r="AI53" s="756"/>
      <c r="AJ53" s="756"/>
      <c r="AK53" s="756"/>
      <c r="AL53" s="756"/>
      <c r="AM53" s="756"/>
      <c r="AN53" s="756"/>
      <c r="AO53" s="756"/>
      <c r="AR53" s="779"/>
      <c r="BM53" s="1" t="s">
        <v>249</v>
      </c>
      <c r="BN53" s="1" t="s">
        <v>249</v>
      </c>
      <c r="CA53"/>
      <c r="CB53"/>
      <c r="CK53" s="242" t="s">
        <v>2996</v>
      </c>
      <c r="CL53" t="s">
        <v>3212</v>
      </c>
    </row>
    <row r="54" spans="19:90" ht="16.350000000000001" customHeight="1">
      <c r="S54" s="751">
        <f>Ram_2!AR14</f>
        <v>0</v>
      </c>
      <c r="W54" s="755" t="str">
        <f>'Translate&amp;Prices&amp;Logo'!$O$547</f>
        <v>Wariant okucia</v>
      </c>
      <c r="X54" s="755"/>
      <c r="Y54" s="755"/>
      <c r="Z54" s="755"/>
      <c r="AA54" s="755"/>
      <c r="AB54" s="481"/>
      <c r="AC54" s="239">
        <f>IFERROR(VLOOKUP(Ram_2!$H$15,kombinace_1!$ED$2:$EE$758,2,0),Ram_2!$H$15)</f>
        <v>0</v>
      </c>
      <c r="AD54" s="239"/>
      <c r="AE54" s="239"/>
      <c r="AF54" s="239"/>
      <c r="AG54" s="239"/>
      <c r="AH54" s="239"/>
      <c r="AI54" s="239"/>
      <c r="AJ54" s="758" t="str">
        <f>IF(AC54='Translate&amp;Prices&amp;Logo'!C700,VLOOKUP(Ram_2!H17,'Translate&amp;Prices&amp;Logo'!C701:D748,2,0),"")</f>
        <v/>
      </c>
      <c r="AK54" s="758"/>
      <c r="AL54" s="758"/>
      <c r="AM54" s="758"/>
      <c r="AN54" s="758"/>
      <c r="AO54" s="758"/>
      <c r="AR54" s="779"/>
      <c r="BM54" s="1" t="s">
        <v>1133</v>
      </c>
      <c r="BN54" s="1" t="s">
        <v>1132</v>
      </c>
      <c r="CA54"/>
      <c r="CB54"/>
      <c r="CK54" s="242" t="s">
        <v>2997</v>
      </c>
      <c r="CL54" t="s">
        <v>2537</v>
      </c>
    </row>
    <row r="55" spans="19:90" ht="16.350000000000001" customHeight="1">
      <c r="S55" s="752">
        <f>Ram_1!AR51</f>
        <v>0</v>
      </c>
      <c r="W55" s="755" t="str">
        <f>'Translate&amp;Prices&amp;Logo'!$O$220</f>
        <v>Wybierz pozycję ramki</v>
      </c>
      <c r="X55" s="755"/>
      <c r="Y55" s="755"/>
      <c r="Z55" s="755"/>
      <c r="AA55" s="755"/>
      <c r="AB55" s="756">
        <f>IFERROR(VLOOKUP(Ram_2!$F$16,BI12:BJ23,2,0),0)</f>
        <v>0</v>
      </c>
      <c r="AC55" s="756"/>
      <c r="AD55" s="756"/>
      <c r="AE55" s="756"/>
      <c r="AF55" s="756"/>
      <c r="AG55" s="760" t="str">
        <f>'Translate&amp;Prices&amp;Logo'!$O$234</f>
        <v>Rodzaj drugiej ramki</v>
      </c>
      <c r="AH55" s="760"/>
      <c r="AI55" s="760"/>
      <c r="AJ55" s="756">
        <f>IFERROR(VLOOKUP(Ram_2!$N$16,BM12:BN41,2,0),0)</f>
        <v>0</v>
      </c>
      <c r="AK55" s="756"/>
      <c r="AL55" s="756"/>
      <c r="AM55" s="756"/>
      <c r="AN55" s="756"/>
      <c r="AO55" s="756"/>
      <c r="AR55" s="779"/>
      <c r="BM55" s="1" t="s">
        <v>1135</v>
      </c>
      <c r="BN55" s="1" t="s">
        <v>1305</v>
      </c>
      <c r="CA55"/>
      <c r="CB55"/>
      <c r="CK55" s="242" t="s">
        <v>2998</v>
      </c>
      <c r="CL55" t="s">
        <v>3215</v>
      </c>
    </row>
    <row r="56" spans="19:90" ht="16.350000000000001" customHeight="1">
      <c r="S56" s="752">
        <f>Ram_1!AR52</f>
        <v>0</v>
      </c>
      <c r="W56" s="755" t="str">
        <f>IF(AC51='Translate&amp;Prices&amp;Logo'!O553,'Translate&amp;Prices&amp;Logo'!O240,'Translate&amp;Prices&amp;Logo'!$O$228)</f>
        <v>Umieszczenie</v>
      </c>
      <c r="X56" s="755"/>
      <c r="Y56" s="755"/>
      <c r="Z56" s="755"/>
      <c r="AA56" s="755"/>
      <c r="AB56" s="481"/>
      <c r="AC56" s="239" t="str">
        <f>IFERROR((IF(Ram_2!H12='Translate&amp;Prices&amp;Logo'!B554,VLOOKUP(Ram_2!$N$16,BM42:BN71,2,0),VLOOKUP(Ram_2!$H$17,BM42:BN65,2,0))),"")</f>
        <v/>
      </c>
      <c r="AD56" s="239"/>
      <c r="AE56" s="239"/>
      <c r="AF56" s="239"/>
      <c r="AG56" s="239"/>
      <c r="AH56" s="239"/>
      <c r="AI56" s="239"/>
      <c r="AJ56" s="239"/>
      <c r="AK56" s="239"/>
      <c r="AL56" s="239"/>
      <c r="AM56" s="239"/>
      <c r="AN56" s="239"/>
      <c r="AO56" s="239"/>
      <c r="AR56" s="779"/>
      <c r="BM56" s="1" t="s">
        <v>310</v>
      </c>
      <c r="BN56" s="1" t="s">
        <v>248</v>
      </c>
      <c r="CA56"/>
      <c r="CB56"/>
      <c r="CK56" s="242" t="s">
        <v>2999</v>
      </c>
      <c r="CL56" t="s">
        <v>2540</v>
      </c>
    </row>
    <row r="57" spans="19:90" ht="16.350000000000001" customHeight="1">
      <c r="S57" s="752">
        <f>Ram_1!AR53</f>
        <v>0</v>
      </c>
      <c r="W57" s="757" t="str">
        <f>IF(Ram_2!AU9=3,'Translate&amp;Prices&amp;Logo'!$O$549,"")</f>
        <v/>
      </c>
      <c r="X57" s="757"/>
      <c r="Y57" s="757"/>
      <c r="Z57" s="757"/>
      <c r="AA57" s="757"/>
      <c r="AB57" s="481"/>
      <c r="AC57" s="756">
        <f>IFERROR((VLOOKUP(Ram_2!$H$18,$CK$2:$CL$90,2,0)),Ram_2!$H$18)</f>
        <v>0</v>
      </c>
      <c r="AD57" s="756"/>
      <c r="AE57" s="756"/>
      <c r="AF57" s="756"/>
      <c r="AG57" s="756"/>
      <c r="AH57" s="756"/>
      <c r="AI57" s="756"/>
      <c r="AJ57" s="756"/>
      <c r="AK57" s="756"/>
      <c r="AL57" s="756"/>
      <c r="AM57" s="756"/>
      <c r="AN57" s="756"/>
      <c r="AO57" s="756"/>
      <c r="AR57" s="779"/>
      <c r="BM57" s="1" t="s">
        <v>311</v>
      </c>
      <c r="BN57" s="1" t="s">
        <v>249</v>
      </c>
      <c r="CA57"/>
      <c r="CB57"/>
      <c r="CK57" s="242" t="s">
        <v>3000</v>
      </c>
      <c r="CL57" t="s">
        <v>3075</v>
      </c>
    </row>
    <row r="58" spans="19:90" ht="16.350000000000001" customHeight="1">
      <c r="S58" s="752">
        <f>Ram_1!AR54</f>
        <v>0</v>
      </c>
      <c r="W58" s="755" t="str">
        <f>'Translate&amp;Prices&amp;Logo'!$O$225</f>
        <v>Ilość zawiasów na 1 ramkę</v>
      </c>
      <c r="X58" s="755"/>
      <c r="Y58" s="755"/>
      <c r="Z58" s="755"/>
      <c r="AA58" s="755"/>
      <c r="AB58" s="481"/>
      <c r="AC58" s="756">
        <f>Ram_2!$H$19</f>
        <v>0</v>
      </c>
      <c r="AD58" s="756"/>
      <c r="AE58" s="756"/>
      <c r="AF58" s="756"/>
      <c r="AG58" s="756"/>
      <c r="AH58" s="756"/>
      <c r="AI58" s="756"/>
      <c r="AJ58" s="756"/>
      <c r="AK58" s="756"/>
      <c r="AL58" s="756"/>
      <c r="AM58" s="756"/>
      <c r="AN58" s="756"/>
      <c r="AO58" s="756"/>
      <c r="AR58" s="779"/>
      <c r="BM58" s="1" t="s">
        <v>1355</v>
      </c>
      <c r="BN58" s="1" t="s">
        <v>1132</v>
      </c>
      <c r="CA58"/>
      <c r="CB58"/>
      <c r="CK58" s="242" t="s">
        <v>3001</v>
      </c>
      <c r="CL58" t="s">
        <v>2976</v>
      </c>
    </row>
    <row r="59" spans="19:90" ht="16.350000000000001" customHeight="1">
      <c r="S59" s="749" t="str">
        <f>'Translate&amp;Prices&amp;Logo'!$O$178</f>
        <v>Wysokość</v>
      </c>
      <c r="W59" s="755" t="str">
        <f>IFERROR(VLOOKUP(Ram_2!H17,kombinace_2!BY32:CD35,5,0),"")</f>
        <v/>
      </c>
      <c r="X59" s="755"/>
      <c r="Y59" s="755"/>
      <c r="Z59" s="755"/>
      <c r="AA59" s="755"/>
      <c r="AB59" s="239"/>
      <c r="AC59" s="756">
        <f>Ram_2!$F$20</f>
        <v>100</v>
      </c>
      <c r="AD59" s="756"/>
      <c r="AE59" s="756"/>
      <c r="AF59" s="756"/>
      <c r="AG59" s="755" t="str">
        <f>IFERROR(VLOOKUP(Ram_2!H17,kombinace_2!$BY$32:$CD$35,6,0),"")</f>
        <v/>
      </c>
      <c r="AH59" s="755"/>
      <c r="AI59" s="755"/>
      <c r="AJ59" s="755"/>
      <c r="AK59" s="755"/>
      <c r="AL59" s="756">
        <f>Ram_2!$N$20</f>
        <v>100</v>
      </c>
      <c r="AM59" s="756"/>
      <c r="AN59" s="756"/>
      <c r="AO59" s="756"/>
      <c r="AR59" s="779"/>
      <c r="BM59" s="1" t="s">
        <v>916</v>
      </c>
      <c r="BN59" s="1" t="s">
        <v>1305</v>
      </c>
      <c r="CA59"/>
      <c r="CB59"/>
      <c r="CK59" s="242" t="s">
        <v>3002</v>
      </c>
      <c r="CL59" t="s">
        <v>3076</v>
      </c>
    </row>
    <row r="60" spans="19:90" ht="16.350000000000001" customHeight="1">
      <c r="S60" s="749">
        <f>Ram_1!AR56</f>
        <v>0</v>
      </c>
      <c r="W60" s="243" t="str">
        <f>'Translate&amp;Prices&amp;Logo'!$O$655</f>
        <v>Wypełnienie z siatki</v>
      </c>
      <c r="X60" s="126"/>
      <c r="Y60" s="126"/>
      <c r="Z60" s="126"/>
      <c r="AA60" s="126"/>
      <c r="AB60" s="481"/>
      <c r="AC60" s="759" t="str">
        <f>IF(kombinace_2!FC2=TRUE,"Tak","Nie")</f>
        <v>Nie</v>
      </c>
      <c r="AD60" s="759"/>
      <c r="AE60" s="759"/>
      <c r="AF60" s="759"/>
      <c r="AG60" s="759"/>
      <c r="AH60" s="759"/>
      <c r="AI60" s="759"/>
      <c r="AJ60" s="759"/>
      <c r="AK60" s="759"/>
      <c r="AL60" s="759"/>
      <c r="AM60" s="759"/>
      <c r="AN60" s="759"/>
      <c r="AO60" s="759"/>
      <c r="AR60" s="779"/>
      <c r="BM60" s="1" t="s">
        <v>907</v>
      </c>
      <c r="BN60" s="1" t="s">
        <v>248</v>
      </c>
      <c r="CA60"/>
      <c r="CB60"/>
      <c r="CK60" s="242" t="s">
        <v>3003</v>
      </c>
      <c r="CL60" t="s">
        <v>3077</v>
      </c>
    </row>
    <row r="61" spans="19:90" ht="16.350000000000001" customHeight="1">
      <c r="S61" s="749">
        <f>Ram_1!AR57</f>
        <v>0</v>
      </c>
      <c r="W61" s="755" t="str">
        <f>'Translate&amp;Prices&amp;Logo'!$O$175</f>
        <v>Rodzaj szkła</v>
      </c>
      <c r="X61" s="755"/>
      <c r="Y61" s="755"/>
      <c r="Z61" s="755"/>
      <c r="AA61" s="755"/>
      <c r="AB61" s="481"/>
      <c r="AC61" s="756" t="str">
        <f>IFERROR(VLOOKUP(kombinace_2!$V$1,BX48:BY50,2,0),0)</f>
        <v>Bez modyfikacji</v>
      </c>
      <c r="AD61" s="756"/>
      <c r="AE61" s="756"/>
      <c r="AF61" s="756"/>
      <c r="AG61" s="756"/>
      <c r="AH61" s="756"/>
      <c r="AI61" s="756"/>
      <c r="AJ61" s="756"/>
      <c r="AK61" s="756"/>
      <c r="AL61" s="756"/>
      <c r="AM61" s="756"/>
      <c r="AN61" s="756"/>
      <c r="AO61" s="756"/>
      <c r="AR61" s="779"/>
      <c r="BM61" s="1" t="s">
        <v>908</v>
      </c>
      <c r="BN61" s="1" t="s">
        <v>249</v>
      </c>
      <c r="CA61"/>
      <c r="CB61"/>
      <c r="CK61" s="242" t="s">
        <v>3004</v>
      </c>
      <c r="CL61" t="s">
        <v>2977</v>
      </c>
    </row>
    <row r="62" spans="19:90" ht="16.350000000000001" customHeight="1">
      <c r="S62" s="749">
        <f>Ram_1!AR58</f>
        <v>0</v>
      </c>
      <c r="W62" s="755" t="str">
        <f>'Translate&amp;Prices&amp;Logo'!$O$564</f>
        <v>Rodzaj folii</v>
      </c>
      <c r="X62" s="755"/>
      <c r="Y62" s="755"/>
      <c r="Z62" s="755"/>
      <c r="AA62" s="755"/>
      <c r="AB62" s="481"/>
      <c r="AC62" s="756">
        <f>IFERROR(VLOOKUP(Ram_2!$H$24,CA12:CB29,2,0),0)</f>
        <v>0</v>
      </c>
      <c r="AD62" s="756"/>
      <c r="AE62" s="756"/>
      <c r="AF62" s="756"/>
      <c r="AG62" s="756"/>
      <c r="AH62" s="756"/>
      <c r="AI62" s="756"/>
      <c r="AJ62" s="756"/>
      <c r="AK62" s="756"/>
      <c r="AL62" s="756"/>
      <c r="AM62" s="756"/>
      <c r="AN62" s="756"/>
      <c r="AO62" s="756"/>
      <c r="AR62" s="779"/>
      <c r="BM62" s="318" t="s">
        <v>3808</v>
      </c>
      <c r="BN62" s="1" t="s">
        <v>1132</v>
      </c>
      <c r="CA62"/>
      <c r="CB62"/>
      <c r="CK62" s="242" t="s">
        <v>3005</v>
      </c>
      <c r="CL62" t="s">
        <v>2978</v>
      </c>
    </row>
    <row r="63" spans="19:90" ht="16.350000000000001" customHeight="1" thickBot="1">
      <c r="S63" s="750">
        <f>Ram_1!AR59</f>
        <v>0</v>
      </c>
      <c r="W63" s="755" t="str">
        <f>'Translate&amp;Prices&amp;Logo'!$O$175</f>
        <v>Rodzaj szkła</v>
      </c>
      <c r="X63" s="755"/>
      <c r="Y63" s="755"/>
      <c r="Z63" s="755"/>
      <c r="AA63" s="755"/>
      <c r="AB63" s="481"/>
      <c r="AC63" s="756">
        <f>IFERROR(VLOOKUP(Ram_2!$H$25,'Translate&amp;Prices&amp;Logo'!$AH$1:$AI$167,2,0),Ram_2!$H$25)</f>
        <v>0</v>
      </c>
      <c r="AD63" s="756"/>
      <c r="AE63" s="756"/>
      <c r="AF63" s="756"/>
      <c r="AG63" s="756"/>
      <c r="AH63" s="756"/>
      <c r="AI63" s="756"/>
      <c r="AJ63" s="756"/>
      <c r="AK63" s="756"/>
      <c r="AL63" s="756"/>
      <c r="AM63" s="756"/>
      <c r="AN63" s="756"/>
      <c r="AO63" s="756"/>
      <c r="AR63" s="779"/>
      <c r="BM63" s="318" t="s">
        <v>3809</v>
      </c>
      <c r="BN63" s="1" t="s">
        <v>1305</v>
      </c>
      <c r="CK63" s="31" t="s">
        <v>4276</v>
      </c>
      <c r="CL63" t="s">
        <v>4274</v>
      </c>
    </row>
    <row r="64" spans="19:90" ht="16.350000000000001" customHeight="1">
      <c r="W64" s="755" t="str">
        <f>'Translate&amp;Prices&amp;Logo'!$O$551</f>
        <v>Rozstaw uchwytu (mm)</v>
      </c>
      <c r="X64" s="755"/>
      <c r="Y64" s="755"/>
      <c r="Z64" s="755"/>
      <c r="AA64" s="755"/>
      <c r="AB64" s="481"/>
      <c r="AC64" s="756">
        <f>Ram_2!$H$26</f>
        <v>0</v>
      </c>
      <c r="AD64" s="756"/>
      <c r="AE64" s="756"/>
      <c r="AF64" s="756"/>
      <c r="AG64" s="756"/>
      <c r="AH64" s="756"/>
      <c r="AI64" s="756"/>
      <c r="AJ64" s="756"/>
      <c r="AK64" s="756"/>
      <c r="AL64" s="756"/>
      <c r="AM64" s="756"/>
      <c r="AN64" s="756"/>
      <c r="AO64" s="756"/>
      <c r="AR64" s="779"/>
      <c r="BM64" s="318" t="s">
        <v>3810</v>
      </c>
      <c r="BN64" s="1" t="s">
        <v>248</v>
      </c>
      <c r="CK64" s="1" t="s">
        <v>2536</v>
      </c>
      <c r="CL64" t="s">
        <v>3213</v>
      </c>
    </row>
    <row r="65" spans="1:94" ht="16.350000000000001" customHeight="1">
      <c r="W65" s="755" t="str">
        <f>'Translate&amp;Prices&amp;Logo'!$O$552</f>
        <v>Umieszczenie uchwytu</v>
      </c>
      <c r="X65" s="755"/>
      <c r="Y65" s="755"/>
      <c r="Z65" s="755"/>
      <c r="AA65" s="755"/>
      <c r="AB65" s="481"/>
      <c r="AC65" s="756">
        <f>IFERROR(VLOOKUP(Ram_2!$H$27,BM42:BN65,2,0),0)</f>
        <v>0</v>
      </c>
      <c r="AD65" s="756"/>
      <c r="AE65" s="756"/>
      <c r="AF65" s="756"/>
      <c r="AG65" s="756"/>
      <c r="AH65" s="756"/>
      <c r="AI65" s="756"/>
      <c r="AJ65" s="756"/>
      <c r="AK65" s="756"/>
      <c r="AL65" s="756"/>
      <c r="AM65" s="756"/>
      <c r="AN65" s="756"/>
      <c r="AO65" s="756"/>
      <c r="AR65" s="779"/>
      <c r="BM65" s="318" t="s">
        <v>3811</v>
      </c>
      <c r="BN65" s="1" t="s">
        <v>249</v>
      </c>
      <c r="CK65" t="s">
        <v>2539</v>
      </c>
      <c r="CL65" t="s">
        <v>3212</v>
      </c>
    </row>
    <row r="66" spans="1:94" ht="16.350000000000001" customHeight="1">
      <c r="W66" s="755" t="str">
        <f>('Translate&amp;Prices&amp;Logo'!$O$176)&amp;" "&amp;"-"&amp;" "&amp;('Translate&amp;Prices&amp;Logo'!$O$171)&amp;" "&amp;" "&amp;2</f>
        <v>Ilość sztuk - Ramka  2</v>
      </c>
      <c r="X66" s="755"/>
      <c r="Y66" s="755"/>
      <c r="Z66" s="755"/>
      <c r="AA66" s="755"/>
      <c r="AB66" s="481"/>
      <c r="AC66" s="756">
        <f>Ram_2!$H$28</f>
        <v>0</v>
      </c>
      <c r="AD66" s="756"/>
      <c r="AE66" s="756"/>
      <c r="AF66" s="756"/>
      <c r="AG66" s="756"/>
      <c r="AH66" s="756"/>
      <c r="AI66" s="756"/>
      <c r="AJ66" s="756"/>
      <c r="AK66" s="756"/>
      <c r="AL66" s="756"/>
      <c r="AM66" s="756"/>
      <c r="AN66" s="756"/>
      <c r="AO66" s="756"/>
      <c r="AR66" s="779"/>
      <c r="BM66" s="175" t="s">
        <v>103</v>
      </c>
      <c r="BN66" s="133" t="s">
        <v>250</v>
      </c>
      <c r="CK66" t="s">
        <v>4256</v>
      </c>
      <c r="CL66" t="s">
        <v>4274</v>
      </c>
    </row>
    <row r="67" spans="1:94" ht="16.350000000000001" customHeight="1">
      <c r="AE67" s="1"/>
      <c r="AF67" s="1"/>
      <c r="AR67" s="779"/>
      <c r="BM67" s="133" t="s">
        <v>189</v>
      </c>
      <c r="BN67" s="133" t="s">
        <v>250</v>
      </c>
      <c r="CK67" t="s">
        <v>4257</v>
      </c>
      <c r="CL67" t="s">
        <v>4275</v>
      </c>
    </row>
    <row r="68" spans="1:94" ht="14.85" customHeight="1">
      <c r="AR68" s="779"/>
      <c r="BM68" s="133" t="s">
        <v>312</v>
      </c>
      <c r="BN68" s="133" t="s">
        <v>250</v>
      </c>
      <c r="BS68" s="133" t="s">
        <v>2297</v>
      </c>
      <c r="BT68" s="133" t="s">
        <v>2301</v>
      </c>
      <c r="CK68" t="s">
        <v>4258</v>
      </c>
      <c r="CL68" t="s">
        <v>4278</v>
      </c>
    </row>
    <row r="69" spans="1:94" ht="14.85" customHeight="1">
      <c r="W69" s="767" t="s">
        <v>1604</v>
      </c>
      <c r="X69" s="767"/>
      <c r="Y69" s="767"/>
      <c r="Z69" s="767"/>
      <c r="AE69" s="767" t="s">
        <v>1605</v>
      </c>
      <c r="AF69" s="767"/>
      <c r="AG69" s="767"/>
      <c r="AH69" s="767"/>
      <c r="AR69" s="779"/>
      <c r="BM69" s="133" t="s">
        <v>909</v>
      </c>
      <c r="BN69" s="133" t="s">
        <v>250</v>
      </c>
      <c r="BS69" s="133" t="s">
        <v>2298</v>
      </c>
      <c r="BT69" s="133" t="s">
        <v>2302</v>
      </c>
      <c r="CK69" t="s">
        <v>4259</v>
      </c>
      <c r="CL69" t="s">
        <v>4279</v>
      </c>
    </row>
    <row r="70" spans="1:94" ht="14.85" customHeight="1">
      <c r="AE70" s="768"/>
      <c r="AF70" s="769"/>
      <c r="AG70" s="769"/>
      <c r="AH70" s="769"/>
      <c r="AI70" s="769"/>
      <c r="AJ70" s="769"/>
      <c r="AK70" s="769"/>
      <c r="AL70" s="769"/>
      <c r="AM70" s="769"/>
      <c r="AN70" s="770"/>
      <c r="AR70" s="779"/>
      <c r="BM70" s="1" t="s">
        <v>3812</v>
      </c>
      <c r="BN70" s="133" t="s">
        <v>250</v>
      </c>
      <c r="BS70" s="133" t="s">
        <v>2299</v>
      </c>
      <c r="BT70" s="133" t="s">
        <v>2303</v>
      </c>
      <c r="CK70" t="s">
        <v>4260</v>
      </c>
      <c r="CL70" t="s">
        <v>4280</v>
      </c>
    </row>
    <row r="71" spans="1:94" ht="14.85" customHeight="1">
      <c r="AE71" s="771"/>
      <c r="AF71" s="772"/>
      <c r="AG71" s="772"/>
      <c r="AH71" s="772"/>
      <c r="AI71" s="772"/>
      <c r="AJ71" s="772"/>
      <c r="AK71" s="772"/>
      <c r="AL71" s="772"/>
      <c r="AM71" s="772"/>
      <c r="AN71" s="773"/>
      <c r="AR71" s="779"/>
      <c r="BM71" s="1" t="s">
        <v>250</v>
      </c>
      <c r="BN71" s="1" t="s">
        <v>250</v>
      </c>
      <c r="BS71" s="133" t="s">
        <v>2300</v>
      </c>
      <c r="BT71" s="133" t="s">
        <v>2304</v>
      </c>
      <c r="CK71" t="s">
        <v>4261</v>
      </c>
      <c r="CL71" t="s">
        <v>4281</v>
      </c>
    </row>
    <row r="72" spans="1:94" ht="14.85" customHeight="1">
      <c r="AE72" s="771"/>
      <c r="AF72" s="772"/>
      <c r="AG72" s="772"/>
      <c r="AH72" s="772"/>
      <c r="AI72" s="772"/>
      <c r="AJ72" s="772"/>
      <c r="AK72" s="772"/>
      <c r="AL72" s="772"/>
      <c r="AM72" s="772"/>
      <c r="AN72" s="773"/>
      <c r="AR72" s="779"/>
      <c r="BS72" s="175" t="s">
        <v>103</v>
      </c>
      <c r="BT72" s="133" t="s">
        <v>250</v>
      </c>
      <c r="CK72" t="s">
        <v>4262</v>
      </c>
      <c r="CL72" t="s">
        <v>4282</v>
      </c>
    </row>
    <row r="73" spans="1:94" ht="14.85" customHeight="1">
      <c r="D73" s="766">
        <f>IF(OR(Ram_2!$AC$25="x",Ram_2!$AJ$26="x",Ram_2!$AC$9="x",Ram_2!$AJ$7="x",Ram_2!$AB$16="x",Ram_2!$AM$23="x",Ram_2!$AN$19="x",Ram_2!$AD$10="x"),'Translate&amp;Prices&amp;Logo'!$B$590,0)</f>
        <v>0</v>
      </c>
      <c r="E73" s="766"/>
      <c r="F73" s="766"/>
      <c r="G73" s="766"/>
      <c r="H73" s="766"/>
      <c r="I73" s="766"/>
      <c r="J73" s="766"/>
      <c r="K73" s="766"/>
      <c r="L73" s="766"/>
      <c r="M73" s="766"/>
      <c r="N73" s="766"/>
      <c r="O73" s="766"/>
      <c r="P73" s="766"/>
      <c r="AE73" s="771"/>
      <c r="AF73" s="772"/>
      <c r="AG73" s="772"/>
      <c r="AH73" s="772"/>
      <c r="AI73" s="772"/>
      <c r="AJ73" s="772"/>
      <c r="AK73" s="772"/>
      <c r="AL73" s="772"/>
      <c r="AM73" s="772"/>
      <c r="AN73" s="773"/>
      <c r="AR73" s="779"/>
      <c r="BS73" s="133" t="s">
        <v>189</v>
      </c>
      <c r="BT73" s="133" t="s">
        <v>250</v>
      </c>
      <c r="CK73" t="s">
        <v>4095</v>
      </c>
      <c r="CL73" t="s">
        <v>2535</v>
      </c>
      <c r="CP73"/>
    </row>
    <row r="74" spans="1:94" ht="14.85" customHeight="1">
      <c r="AE74" s="771"/>
      <c r="AF74" s="772"/>
      <c r="AG74" s="772"/>
      <c r="AH74" s="772"/>
      <c r="AI74" s="772"/>
      <c r="AJ74" s="772"/>
      <c r="AK74" s="772"/>
      <c r="AL74" s="772"/>
      <c r="AM74" s="772"/>
      <c r="AN74" s="773"/>
      <c r="AR74" s="779"/>
      <c r="BS74" s="133" t="s">
        <v>312</v>
      </c>
      <c r="BT74" s="133" t="s">
        <v>250</v>
      </c>
      <c r="CK74" t="s">
        <v>4263</v>
      </c>
      <c r="CL74" t="s">
        <v>2973</v>
      </c>
    </row>
    <row r="75" spans="1:94" ht="14.85" customHeight="1" thickBot="1">
      <c r="AE75" s="771"/>
      <c r="AF75" s="772"/>
      <c r="AG75" s="772"/>
      <c r="AH75" s="772"/>
      <c r="AI75" s="772"/>
      <c r="AJ75" s="772"/>
      <c r="AK75" s="772"/>
      <c r="AL75" s="772"/>
      <c r="AM75" s="772"/>
      <c r="AN75" s="773"/>
      <c r="AR75" s="779"/>
      <c r="BS75" s="133" t="s">
        <v>909</v>
      </c>
      <c r="BT75" s="133" t="s">
        <v>250</v>
      </c>
      <c r="CK75" t="s">
        <v>4098</v>
      </c>
      <c r="CL75" t="s">
        <v>2536</v>
      </c>
    </row>
    <row r="76" spans="1:94" ht="14.85" customHeight="1" thickBot="1">
      <c r="G76" s="745" t="str">
        <f>'Translate&amp;Prices&amp;Logo'!$O$177</f>
        <v>Szerokość</v>
      </c>
      <c r="H76" s="746">
        <f>Ram_1!AG66</f>
        <v>0</v>
      </c>
      <c r="I76" s="746">
        <f>Ram_1!AH66</f>
        <v>0</v>
      </c>
      <c r="J76" s="747">
        <f>Ram_2!AI30</f>
        <v>0</v>
      </c>
      <c r="K76" s="747">
        <f>Ram_1!AJ66</f>
        <v>0</v>
      </c>
      <c r="L76" s="748">
        <f>Ram_1!AK66</f>
        <v>0</v>
      </c>
      <c r="AE76" s="771"/>
      <c r="AF76" s="772"/>
      <c r="AG76" s="772"/>
      <c r="AH76" s="772"/>
      <c r="AI76" s="772"/>
      <c r="AJ76" s="772"/>
      <c r="AK76" s="772"/>
      <c r="AL76" s="772"/>
      <c r="AM76" s="772"/>
      <c r="AN76" s="773"/>
      <c r="AR76" s="779"/>
      <c r="CK76" t="s">
        <v>4100</v>
      </c>
      <c r="CL76" t="s">
        <v>2537</v>
      </c>
    </row>
    <row r="77" spans="1:94" ht="21" customHeight="1">
      <c r="AE77" s="774"/>
      <c r="AF77" s="775"/>
      <c r="AG77" s="775"/>
      <c r="AH77" s="775"/>
      <c r="AI77" s="775"/>
      <c r="AJ77" s="775"/>
      <c r="AK77" s="775"/>
      <c r="AL77" s="775"/>
      <c r="AM77" s="775"/>
      <c r="AN77" s="776"/>
      <c r="AR77" s="779"/>
      <c r="CK77" t="s">
        <v>4264</v>
      </c>
      <c r="CL77" t="s">
        <v>2976</v>
      </c>
    </row>
    <row r="78" spans="1:94" ht="14.85" customHeight="1">
      <c r="AR78" s="779"/>
      <c r="CK78" t="s">
        <v>4265</v>
      </c>
      <c r="CL78" t="s">
        <v>2977</v>
      </c>
    </row>
    <row r="79" spans="1:94" ht="14.85" customHeight="1">
      <c r="AR79" s="779"/>
      <c r="CK79" t="s">
        <v>4099</v>
      </c>
      <c r="CL79" t="s">
        <v>2538</v>
      </c>
    </row>
    <row r="80" spans="1:94" ht="14.85" customHeight="1" thickBo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24"/>
      <c r="AF80" s="125"/>
      <c r="AG80" s="18"/>
      <c r="AH80" s="18"/>
      <c r="AI80" s="18"/>
      <c r="AJ80" s="18"/>
      <c r="AK80" s="18"/>
      <c r="AL80" s="18"/>
      <c r="AM80" s="18"/>
      <c r="AN80" s="18"/>
      <c r="AO80" s="18"/>
      <c r="AP80" s="18"/>
      <c r="AQ80" s="18"/>
      <c r="AR80" s="18"/>
      <c r="CK80" t="s">
        <v>4266</v>
      </c>
      <c r="CL80" t="s">
        <v>2974</v>
      </c>
    </row>
    <row r="81" spans="10:90" ht="35.1" customHeight="1" thickBot="1">
      <c r="J81" s="121"/>
      <c r="K81" s="121"/>
      <c r="L81" s="121"/>
      <c r="M81" s="121"/>
      <c r="N81" s="121"/>
      <c r="O81" s="121"/>
      <c r="P81" s="121"/>
      <c r="Q81" s="121"/>
      <c r="R81" s="121"/>
      <c r="S81" s="121"/>
      <c r="T81" s="121"/>
      <c r="U81" s="121"/>
      <c r="V81" s="121"/>
      <c r="W81" s="765" t="str">
        <f>'Translate&amp;Prices&amp;Logo'!$O$258</f>
        <v>Numer zamówienia</v>
      </c>
      <c r="X81" s="765"/>
      <c r="Y81" s="765"/>
      <c r="Z81" s="765"/>
      <c r="AA81" s="765"/>
      <c r="AB81" s="56"/>
      <c r="AC81" s="762">
        <f>Ram_3!AS5</f>
        <v>0</v>
      </c>
      <c r="AD81" s="763"/>
      <c r="AE81" s="763"/>
      <c r="AF81" s="763"/>
      <c r="AG81" s="763"/>
      <c r="AH81" s="763"/>
      <c r="AI81" s="763"/>
      <c r="AJ81" s="763"/>
      <c r="AK81" s="763"/>
      <c r="AL81" s="763"/>
      <c r="AM81" s="763"/>
      <c r="AN81" s="763"/>
      <c r="AO81" s="764"/>
      <c r="AR81" s="779" t="s">
        <v>1608</v>
      </c>
      <c r="CK81" t="s">
        <v>4101</v>
      </c>
      <c r="CL81" t="s">
        <v>2539</v>
      </c>
    </row>
    <row r="82" spans="10:90" ht="16.350000000000001" customHeight="1">
      <c r="W82" s="755" t="str">
        <f>'Translate&amp;Prices&amp;Logo'!$O$544</f>
        <v>Połączenie 2 profili</v>
      </c>
      <c r="X82" s="755"/>
      <c r="Y82" s="755"/>
      <c r="Z82" s="755"/>
      <c r="AA82" s="755"/>
      <c r="AB82" s="481"/>
      <c r="AC82" s="780" t="str">
        <f>IF(kombinace_3!$H$1=TRUE,"Tak","Nie")</f>
        <v>Nie</v>
      </c>
      <c r="AD82" s="780"/>
      <c r="AE82" s="780"/>
      <c r="AF82" s="780"/>
      <c r="AG82" s="780"/>
      <c r="AH82" s="780"/>
      <c r="AI82" s="780"/>
      <c r="AJ82" s="780"/>
      <c r="AK82" s="780"/>
      <c r="AL82" s="780"/>
      <c r="AM82" s="780"/>
      <c r="AN82" s="780"/>
      <c r="AO82" s="780"/>
      <c r="AR82" s="779"/>
      <c r="CK82" t="s">
        <v>4267</v>
      </c>
      <c r="CL82" t="s">
        <v>2975</v>
      </c>
    </row>
    <row r="83" spans="10:90" ht="16.350000000000001" customHeight="1">
      <c r="W83" s="755" t="str">
        <f>'Translate&amp;Prices&amp;Logo'!$O$174</f>
        <v>Rodzaj profilu</v>
      </c>
      <c r="X83" s="755"/>
      <c r="Y83" s="755"/>
      <c r="Z83" s="755"/>
      <c r="AA83" s="755"/>
      <c r="AB83" s="481"/>
      <c r="AC83" s="756">
        <f>IFERROR(VLOOKUP(Ram_3!$H$8,'Translate&amp;Prices&amp;Logo'!$AA$1:$AB$456,2,0),Ram_3!$H$8)</f>
        <v>0</v>
      </c>
      <c r="AD83" s="756"/>
      <c r="AE83" s="756"/>
      <c r="AF83" s="756"/>
      <c r="AG83" s="756"/>
      <c r="AH83" s="756"/>
      <c r="AI83" s="756"/>
      <c r="AJ83" s="756"/>
      <c r="AK83" s="756"/>
      <c r="AL83" s="756"/>
      <c r="AM83" s="756"/>
      <c r="AN83" s="756"/>
      <c r="AO83" s="756"/>
      <c r="AR83" s="779"/>
      <c r="CK83" t="s">
        <v>4103</v>
      </c>
      <c r="CL83" t="s">
        <v>2540</v>
      </c>
    </row>
    <row r="84" spans="10:90" ht="16.350000000000001" customHeight="1">
      <c r="W84" s="755" t="str">
        <f>'Translate&amp;Prices&amp;Logo'!$O$545</f>
        <v>Szprosy</v>
      </c>
      <c r="X84" s="755"/>
      <c r="Y84" s="755"/>
      <c r="Z84" s="755"/>
      <c r="AA84" s="755"/>
      <c r="AB84" s="481"/>
      <c r="AC84" s="756" t="str">
        <f>IFERROR(VLOOKUP(Ram_3!$AU$10,AU84:AV87,2,0),0)</f>
        <v>Nie</v>
      </c>
      <c r="AD84" s="756"/>
      <c r="AE84" s="756"/>
      <c r="AF84" s="756"/>
      <c r="AG84" s="756"/>
      <c r="AH84" s="756"/>
      <c r="AI84" s="756"/>
      <c r="AJ84" s="756"/>
      <c r="AK84" s="756"/>
      <c r="AL84" s="756"/>
      <c r="AM84" s="756"/>
      <c r="AN84" s="756"/>
      <c r="AO84" s="756"/>
      <c r="AR84" s="779"/>
      <c r="AU84">
        <v>0</v>
      </c>
      <c r="AV84" t="str">
        <f>'Translate&amp;Prices&amp;Logo'!$O$559</f>
        <v>Nie</v>
      </c>
      <c r="AZ84">
        <v>2</v>
      </c>
      <c r="BA84" t="str">
        <f>'Translate&amp;Prices&amp;Logo'!$O$553</f>
        <v>Zawiasy</v>
      </c>
      <c r="BX84" s="1">
        <v>1</v>
      </c>
      <c r="BY84" s="1" t="str">
        <f>'Translate&amp;Prices&amp;Logo'!$O$102</f>
        <v>Bez modyfikacji</v>
      </c>
      <c r="CA84"/>
      <c r="CB84"/>
      <c r="CK84" t="s">
        <v>4268</v>
      </c>
      <c r="CL84" t="s">
        <v>2978</v>
      </c>
    </row>
    <row r="85" spans="10:90" ht="16.350000000000001" customHeight="1">
      <c r="W85" s="126"/>
      <c r="X85" s="126"/>
      <c r="Y85" s="126"/>
      <c r="Z85" s="126"/>
      <c r="AA85" s="126"/>
      <c r="AB85" s="481"/>
      <c r="AC85" s="777" t="str">
        <f>'Translate&amp;Prices&amp;Logo'!$O$560</f>
        <v>Poziomo (termin dostawy 4 tygodnie)</v>
      </c>
      <c r="AD85" s="777"/>
      <c r="AE85" s="777"/>
      <c r="AF85" s="777"/>
      <c r="AG85" s="777"/>
      <c r="AH85" s="777"/>
      <c r="AI85" s="777"/>
      <c r="AJ85" s="777" t="str">
        <f>'Translate&amp;Prices&amp;Logo'!$O$561</f>
        <v>Pionowo (termin dostawy 4 tygodnie)</v>
      </c>
      <c r="AK85" s="777"/>
      <c r="AL85" s="777"/>
      <c r="AM85" s="777"/>
      <c r="AN85" s="777"/>
      <c r="AO85" s="777"/>
      <c r="AR85" s="779"/>
      <c r="AU85">
        <v>1</v>
      </c>
      <c r="AV85" t="str">
        <f>'Translate&amp;Prices&amp;Logo'!$O$560</f>
        <v>Poziomo (termin dostawy 4 tygodnie)</v>
      </c>
      <c r="AZ85">
        <v>3</v>
      </c>
      <c r="BA85" t="str">
        <f>'Translate&amp;Prices&amp;Logo'!$O$554</f>
        <v>Podnośniki</v>
      </c>
      <c r="BX85" s="1">
        <v>2</v>
      </c>
      <c r="BY85" s="1" t="str">
        <f>'Translate&amp;Prices&amp;Logo'!$O$103</f>
        <v>Hartowane</v>
      </c>
      <c r="CA85"/>
      <c r="CB85"/>
      <c r="CK85" t="s">
        <v>4096</v>
      </c>
      <c r="CL85" t="s">
        <v>4277</v>
      </c>
    </row>
    <row r="86" spans="10:90" ht="16.350000000000001" customHeight="1">
      <c r="W86" s="755" t="str">
        <f>('Translate&amp;Prices&amp;Logo'!$O$545)&amp;" "&amp;"("&amp;'Translate&amp;Prices&amp;Logo'!$O$176&amp;")"</f>
        <v>Szprosy (Ilość sztuk)</v>
      </c>
      <c r="X86" s="755"/>
      <c r="Y86" s="755"/>
      <c r="Z86" s="755"/>
      <c r="AA86" s="755"/>
      <c r="AB86" s="481"/>
      <c r="AC86" s="756">
        <f>Ram_3!$H$11</f>
        <v>0</v>
      </c>
      <c r="AD86" s="756"/>
      <c r="AE86" s="756"/>
      <c r="AF86" s="756"/>
      <c r="AG86" s="756"/>
      <c r="AH86" s="756"/>
      <c r="AI86" s="756"/>
      <c r="AJ86" s="756">
        <f>Ram_3!$M$11</f>
        <v>0</v>
      </c>
      <c r="AK86" s="756"/>
      <c r="AL86" s="756"/>
      <c r="AM86" s="756"/>
      <c r="AN86" s="756"/>
      <c r="AO86" s="756"/>
      <c r="AR86" s="779"/>
      <c r="AU86">
        <v>2</v>
      </c>
      <c r="AV86" t="str">
        <f>'Translate&amp;Prices&amp;Logo'!$O$561</f>
        <v>Pionowo (termin dostawy 4 tygodnie)</v>
      </c>
      <c r="BX86" s="1">
        <v>3</v>
      </c>
      <c r="BY86" s="1" t="str">
        <f>'Translate&amp;Prices&amp;Logo'!$O$104</f>
        <v>Folia</v>
      </c>
      <c r="CA86"/>
      <c r="CB86"/>
      <c r="CK86" t="s">
        <v>4104</v>
      </c>
      <c r="CL86" t="s">
        <v>4283</v>
      </c>
    </row>
    <row r="87" spans="10:90" ht="16.350000000000001" customHeight="1">
      <c r="W87" s="755" t="str">
        <f>'Translate&amp;Prices&amp;Logo'!$O$260</f>
        <v>Typ okucia</v>
      </c>
      <c r="X87" s="755"/>
      <c r="Y87" s="755"/>
      <c r="Z87" s="755"/>
      <c r="AA87" s="755"/>
      <c r="AB87" s="481"/>
      <c r="AC87" s="756">
        <f>IFERROR(VLOOKUP(Ram_3!$AU$9,AZ84:BA85,2,0),0)</f>
        <v>0</v>
      </c>
      <c r="AD87" s="756"/>
      <c r="AE87" s="756"/>
      <c r="AF87" s="756"/>
      <c r="AG87" s="756"/>
      <c r="AH87" s="756"/>
      <c r="AI87" s="756"/>
      <c r="AJ87" s="756"/>
      <c r="AK87" s="756"/>
      <c r="AL87" s="756"/>
      <c r="AM87" s="756"/>
      <c r="AN87" s="756"/>
      <c r="AO87" s="756"/>
      <c r="AR87" s="779"/>
      <c r="AU87">
        <v>3</v>
      </c>
      <c r="AV87" t="str">
        <f>'Translate&amp;Prices&amp;Logo'!$O$562</f>
        <v>Poziomo i pionowo (termin dostawy 4 tygodnie)</v>
      </c>
      <c r="CA87"/>
      <c r="CB87"/>
      <c r="CK87" t="s">
        <v>4105</v>
      </c>
      <c r="CL87" t="s">
        <v>4284</v>
      </c>
    </row>
    <row r="88" spans="10:90" ht="16.350000000000001" customHeight="1">
      <c r="W88" s="755" t="str">
        <f>'Translate&amp;Prices&amp;Logo'!$O$546</f>
        <v>Marka okucia</v>
      </c>
      <c r="X88" s="755"/>
      <c r="Y88" s="755"/>
      <c r="Z88" s="755"/>
      <c r="AA88" s="755"/>
      <c r="AB88" s="481"/>
      <c r="AC88" s="756">
        <f>Ram_3!$H$13</f>
        <v>0</v>
      </c>
      <c r="AD88" s="756"/>
      <c r="AE88" s="756"/>
      <c r="AF88" s="756"/>
      <c r="AG88" s="756"/>
      <c r="AH88" s="756"/>
      <c r="AI88" s="756"/>
      <c r="AJ88" s="756"/>
      <c r="AK88" s="756"/>
      <c r="AL88" s="756"/>
      <c r="AM88" s="756"/>
      <c r="AN88" s="756"/>
      <c r="AO88" s="756"/>
      <c r="AR88" s="779"/>
      <c r="CA88"/>
      <c r="CB88"/>
      <c r="CK88" t="s">
        <v>4097</v>
      </c>
      <c r="CL88" t="s">
        <v>4277</v>
      </c>
    </row>
    <row r="89" spans="10:90" ht="16.350000000000001" customHeight="1" thickBot="1">
      <c r="W89" s="755" t="str">
        <f>'Translate&amp;Prices&amp;Logo'!$O$548</f>
        <v>Nałożenie</v>
      </c>
      <c r="X89" s="755"/>
      <c r="Y89" s="755"/>
      <c r="Z89" s="755"/>
      <c r="AA89" s="755"/>
      <c r="AB89" s="481"/>
      <c r="AC89" s="756">
        <f>IFERROR(VLOOKUP(Ram_3!$H$14,$BD$12:$BE$29,2,0),0)</f>
        <v>0</v>
      </c>
      <c r="AD89" s="756"/>
      <c r="AE89" s="756"/>
      <c r="AF89" s="756"/>
      <c r="AG89" s="756"/>
      <c r="AH89" s="756"/>
      <c r="AI89" s="756"/>
      <c r="AJ89" s="756"/>
      <c r="AK89" s="756"/>
      <c r="AL89" s="756"/>
      <c r="AM89" s="756"/>
      <c r="AN89" s="756"/>
      <c r="AO89" s="756"/>
      <c r="AR89" s="779"/>
      <c r="CA89"/>
      <c r="CB89"/>
      <c r="CK89" t="s">
        <v>4102</v>
      </c>
      <c r="CL89" t="s">
        <v>4285</v>
      </c>
    </row>
    <row r="90" spans="10:90" ht="16.350000000000001" customHeight="1">
      <c r="S90" s="751">
        <f>Ram_3!AR14</f>
        <v>0</v>
      </c>
      <c r="W90" s="755" t="str">
        <f>'Translate&amp;Prices&amp;Logo'!$O$547</f>
        <v>Wariant okucia</v>
      </c>
      <c r="X90" s="755"/>
      <c r="Y90" s="755"/>
      <c r="Z90" s="755"/>
      <c r="AA90" s="755"/>
      <c r="AB90" s="481"/>
      <c r="AC90" s="758">
        <f>IFERROR(VLOOKUP(Ram_3!$H$15,kombinace_1!$ED$2:$EE$758,2,0),Ram_3!$H$15)</f>
        <v>0</v>
      </c>
      <c r="AD90" s="758"/>
      <c r="AE90" s="758"/>
      <c r="AF90" s="758"/>
      <c r="AG90" s="758"/>
      <c r="AH90" s="758"/>
      <c r="AI90" s="758"/>
      <c r="AJ90" s="758" t="str">
        <f>IF(AC90='Translate&amp;Prices&amp;Logo'!C700,VLOOKUP(Ram_3!H17,'Translate&amp;Prices&amp;Logo'!C701:D748,2,0),"")</f>
        <v/>
      </c>
      <c r="AK90" s="758"/>
      <c r="AL90" s="758"/>
      <c r="AM90" s="758"/>
      <c r="AN90" s="758"/>
      <c r="AO90" s="758"/>
      <c r="AR90" s="779"/>
      <c r="CA90"/>
      <c r="CB90"/>
      <c r="CK90" t="s">
        <v>4106</v>
      </c>
      <c r="CL90" t="s">
        <v>4286</v>
      </c>
    </row>
    <row r="91" spans="10:90" ht="16.350000000000001" customHeight="1">
      <c r="S91" s="752">
        <f>Ram_1!AR87</f>
        <v>0</v>
      </c>
      <c r="W91" s="755" t="str">
        <f>'Translate&amp;Prices&amp;Logo'!$O$220</f>
        <v>Wybierz pozycję ramki</v>
      </c>
      <c r="X91" s="755"/>
      <c r="Y91" s="755"/>
      <c r="Z91" s="755"/>
      <c r="AA91" s="755"/>
      <c r="AB91" s="756">
        <f>IFERROR(VLOOKUP(Ram_3!$F$16,BI12:BJ23,2,0),0)</f>
        <v>0</v>
      </c>
      <c r="AC91" s="756"/>
      <c r="AD91" s="756"/>
      <c r="AE91" s="756"/>
      <c r="AF91" s="756"/>
      <c r="AG91" s="760" t="str">
        <f>'Translate&amp;Prices&amp;Logo'!$O$234</f>
        <v>Rodzaj drugiej ramki</v>
      </c>
      <c r="AH91" s="760"/>
      <c r="AI91" s="760"/>
      <c r="AJ91" s="243"/>
      <c r="AK91" s="756">
        <f>IFERROR(VLOOKUP(Ram_3!$N$16,BM12:BN41,2,0),0)</f>
        <v>0</v>
      </c>
      <c r="AL91" s="756"/>
      <c r="AM91" s="756"/>
      <c r="AN91" s="756"/>
      <c r="AO91" s="756"/>
      <c r="AR91" s="779"/>
      <c r="CA91"/>
      <c r="CB91"/>
      <c r="CL91"/>
    </row>
    <row r="92" spans="10:90" ht="16.350000000000001" customHeight="1">
      <c r="S92" s="752">
        <f>Ram_1!AR88</f>
        <v>0</v>
      </c>
      <c r="W92" s="755" t="str">
        <f>IF(AC87='Translate&amp;Prices&amp;Logo'!O553,'Translate&amp;Prices&amp;Logo'!O240,'Translate&amp;Prices&amp;Logo'!$O$228)</f>
        <v>Umieszczenie</v>
      </c>
      <c r="X92" s="755"/>
      <c r="Y92" s="755"/>
      <c r="Z92" s="755"/>
      <c r="AA92" s="755"/>
      <c r="AB92" s="481"/>
      <c r="AC92" s="756" t="str">
        <f>IFERROR((IF(Ram_3!H12='Translate&amp;Prices&amp;Logo'!B554,VLOOKUP(Ram_3!$N$16,BM42:BN71,2,0),VLOOKUP(Ram_3!$H$17,BM42:BN65,2,0))),"")</f>
        <v/>
      </c>
      <c r="AD92" s="756"/>
      <c r="AE92" s="756"/>
      <c r="AF92" s="756"/>
      <c r="AG92" s="756"/>
      <c r="AH92" s="756"/>
      <c r="AI92" s="756"/>
      <c r="AJ92" s="756"/>
      <c r="AK92" s="756"/>
      <c r="AL92" s="756"/>
      <c r="AM92" s="756"/>
      <c r="AN92" s="756"/>
      <c r="AO92" s="756"/>
      <c r="AR92" s="779"/>
      <c r="CA92"/>
      <c r="CB92"/>
      <c r="CL92"/>
    </row>
    <row r="93" spans="10:90" ht="16.350000000000001" customHeight="1">
      <c r="S93" s="752">
        <f>Ram_1!AR89</f>
        <v>0</v>
      </c>
      <c r="W93" s="757" t="str">
        <f>IF(Ram_3!AU9=3,'Translate&amp;Prices&amp;Logo'!$O$549,"")</f>
        <v/>
      </c>
      <c r="X93" s="757"/>
      <c r="Y93" s="757"/>
      <c r="Z93" s="757"/>
      <c r="AA93" s="757"/>
      <c r="AB93" s="481"/>
      <c r="AC93" s="756">
        <f>IFERROR((VLOOKUP(Ram_3!$H$18,$CK$2:$CL$90,2,0)),Ram_3!$H$18)</f>
        <v>0</v>
      </c>
      <c r="AD93" s="756"/>
      <c r="AE93" s="756"/>
      <c r="AF93" s="756"/>
      <c r="AG93" s="756"/>
      <c r="AH93" s="756"/>
      <c r="AI93" s="756"/>
      <c r="AJ93" s="756"/>
      <c r="AK93" s="756"/>
      <c r="AL93" s="756"/>
      <c r="AM93" s="756"/>
      <c r="AN93" s="756"/>
      <c r="AO93" s="756"/>
      <c r="AR93" s="779"/>
      <c r="CA93"/>
      <c r="CB93"/>
      <c r="CL93"/>
    </row>
    <row r="94" spans="10:90" ht="16.350000000000001" customHeight="1">
      <c r="S94" s="752">
        <f>Ram_1!AR90</f>
        <v>0</v>
      </c>
      <c r="W94" s="755" t="str">
        <f>'Translate&amp;Prices&amp;Logo'!$O$225</f>
        <v>Ilość zawiasów na 1 ramkę</v>
      </c>
      <c r="X94" s="755"/>
      <c r="Y94" s="755"/>
      <c r="Z94" s="755"/>
      <c r="AA94" s="755"/>
      <c r="AB94" s="481"/>
      <c r="AC94" s="756">
        <f>Ram_3!$H$19</f>
        <v>0</v>
      </c>
      <c r="AD94" s="756"/>
      <c r="AE94" s="756"/>
      <c r="AF94" s="756"/>
      <c r="AG94" s="756"/>
      <c r="AH94" s="756"/>
      <c r="AI94" s="756"/>
      <c r="AJ94" s="756"/>
      <c r="AK94" s="756"/>
      <c r="AL94" s="756"/>
      <c r="AM94" s="756"/>
      <c r="AN94" s="756"/>
      <c r="AO94" s="756"/>
      <c r="AR94" s="779"/>
      <c r="CA94"/>
      <c r="CB94"/>
      <c r="CL94"/>
    </row>
    <row r="95" spans="10:90" ht="16.350000000000001" customHeight="1">
      <c r="S95" s="749" t="str">
        <f>'Translate&amp;Prices&amp;Logo'!$O$178</f>
        <v>Wysokość</v>
      </c>
      <c r="W95" s="755" t="str">
        <f>IFERROR(VLOOKUP(Ram_3!H17,kombinace_3!BY32:CD35,5,0),"")</f>
        <v/>
      </c>
      <c r="X95" s="755"/>
      <c r="Y95" s="755"/>
      <c r="Z95" s="755"/>
      <c r="AA95" s="755"/>
      <c r="AB95" s="481"/>
      <c r="AC95" s="756">
        <f>Ram_3!$F$20</f>
        <v>100</v>
      </c>
      <c r="AD95" s="756"/>
      <c r="AE95" s="756"/>
      <c r="AF95" s="756"/>
      <c r="AG95" s="755" t="str">
        <f>IFERROR(VLOOKUP(Ram_3!H17,kombinace_3!$BY$32:$CD$35,6,0),"")</f>
        <v/>
      </c>
      <c r="AH95" s="755"/>
      <c r="AI95" s="755"/>
      <c r="AJ95" s="755"/>
      <c r="AK95" s="755"/>
      <c r="AL95" s="756">
        <f>Ram_3!$N$20</f>
        <v>100</v>
      </c>
      <c r="AM95" s="756"/>
      <c r="AN95" s="756"/>
      <c r="AO95" s="756"/>
      <c r="AR95" s="779"/>
      <c r="CA95"/>
      <c r="CB95"/>
      <c r="CL95"/>
    </row>
    <row r="96" spans="10:90" ht="16.350000000000001" customHeight="1">
      <c r="S96" s="749">
        <f>Ram_1!AR92</f>
        <v>0</v>
      </c>
      <c r="W96" s="243" t="str">
        <f>'Translate&amp;Prices&amp;Logo'!$O$655</f>
        <v>Wypełnienie z siatki</v>
      </c>
      <c r="X96" s="126"/>
      <c r="Y96" s="126"/>
      <c r="Z96" s="126"/>
      <c r="AA96" s="126"/>
      <c r="AB96" s="481"/>
      <c r="AC96" s="759" t="str">
        <f>IF(kombinace_3!FC2=TRUE,"Tak","Nie")</f>
        <v>Nie</v>
      </c>
      <c r="AD96" s="759"/>
      <c r="AE96" s="759"/>
      <c r="AF96" s="759"/>
      <c r="AG96" s="759"/>
      <c r="AH96" s="759"/>
      <c r="AI96" s="759"/>
      <c r="AJ96" s="759"/>
      <c r="AK96" s="759"/>
      <c r="AL96" s="759"/>
      <c r="AM96" s="759"/>
      <c r="AN96" s="759"/>
      <c r="AO96" s="759"/>
      <c r="AR96" s="779"/>
      <c r="CA96"/>
      <c r="CB96"/>
      <c r="CL96"/>
    </row>
    <row r="97" spans="4:90" ht="16.350000000000001" customHeight="1">
      <c r="S97" s="749">
        <f>Ram_1!AR93</f>
        <v>0</v>
      </c>
      <c r="W97" s="755" t="str">
        <f>'Translate&amp;Prices&amp;Logo'!$O$175</f>
        <v>Rodzaj szkła</v>
      </c>
      <c r="X97" s="755"/>
      <c r="Y97" s="755"/>
      <c r="Z97" s="755"/>
      <c r="AA97" s="755"/>
      <c r="AB97" s="481"/>
      <c r="AC97" s="756" t="str">
        <f>IFERROR(VLOOKUP(kombinace_3!$V$1,BX84:BY86,2,0),0)</f>
        <v>Bez modyfikacji</v>
      </c>
      <c r="AD97" s="756"/>
      <c r="AE97" s="756"/>
      <c r="AF97" s="756"/>
      <c r="AG97" s="756"/>
      <c r="AH97" s="756"/>
      <c r="AI97" s="756"/>
      <c r="AJ97" s="756"/>
      <c r="AK97" s="756"/>
      <c r="AL97" s="756"/>
      <c r="AM97" s="756"/>
      <c r="AN97" s="756"/>
      <c r="AO97" s="756"/>
      <c r="AR97" s="779"/>
      <c r="CA97"/>
      <c r="CB97"/>
      <c r="CL97"/>
    </row>
    <row r="98" spans="4:90" ht="16.350000000000001" customHeight="1">
      <c r="S98" s="749">
        <f>Ram_1!AR94</f>
        <v>0</v>
      </c>
      <c r="W98" s="755" t="str">
        <f>'Translate&amp;Prices&amp;Logo'!$O$564</f>
        <v>Rodzaj folii</v>
      </c>
      <c r="X98" s="755"/>
      <c r="Y98" s="755"/>
      <c r="Z98" s="755"/>
      <c r="AA98" s="755"/>
      <c r="AB98" s="481"/>
      <c r="AC98" s="756">
        <f>IFERROR(VLOOKUP(Ram_3!$H$24,CA12:CB29,2,0),0)</f>
        <v>0</v>
      </c>
      <c r="AD98" s="756"/>
      <c r="AE98" s="756"/>
      <c r="AF98" s="756"/>
      <c r="AG98" s="756"/>
      <c r="AH98" s="756"/>
      <c r="AI98" s="756"/>
      <c r="AJ98" s="756"/>
      <c r="AK98" s="756"/>
      <c r="AL98" s="756"/>
      <c r="AM98" s="756"/>
      <c r="AN98" s="756"/>
      <c r="AO98" s="756"/>
      <c r="AR98" s="779"/>
      <c r="CA98"/>
      <c r="CB98"/>
      <c r="CL98"/>
    </row>
    <row r="99" spans="4:90" ht="16.350000000000001" customHeight="1" thickBot="1">
      <c r="S99" s="750">
        <f>Ram_1!AR95</f>
        <v>0</v>
      </c>
      <c r="W99" s="755" t="str">
        <f>'Translate&amp;Prices&amp;Logo'!$O$175</f>
        <v>Rodzaj szkła</v>
      </c>
      <c r="X99" s="755"/>
      <c r="Y99" s="755"/>
      <c r="Z99" s="755"/>
      <c r="AA99" s="755"/>
      <c r="AB99" s="481"/>
      <c r="AC99" s="756">
        <f>IFERROR(VLOOKUP(Ram_3!$H$25,'Translate&amp;Prices&amp;Logo'!$AH$1:$AI$167,2,0),Ram_3!$H$25)</f>
        <v>0</v>
      </c>
      <c r="AD99" s="756"/>
      <c r="AE99" s="756"/>
      <c r="AF99" s="756"/>
      <c r="AG99" s="756"/>
      <c r="AH99" s="756"/>
      <c r="AI99" s="756"/>
      <c r="AJ99" s="756"/>
      <c r="AK99" s="756"/>
      <c r="AL99" s="756"/>
      <c r="AM99" s="756"/>
      <c r="AN99" s="756"/>
      <c r="AO99" s="756"/>
      <c r="AR99" s="779"/>
      <c r="CL99"/>
    </row>
    <row r="100" spans="4:90" ht="16.350000000000001" customHeight="1">
      <c r="W100" s="755" t="str">
        <f>'Translate&amp;Prices&amp;Logo'!$O$551</f>
        <v>Rozstaw uchwytu (mm)</v>
      </c>
      <c r="X100" s="755"/>
      <c r="Y100" s="755"/>
      <c r="Z100" s="755"/>
      <c r="AA100" s="755"/>
      <c r="AB100" s="481"/>
      <c r="AC100" s="756">
        <f>Ram_3!$H$26</f>
        <v>0</v>
      </c>
      <c r="AD100" s="756"/>
      <c r="AE100" s="756"/>
      <c r="AF100" s="756"/>
      <c r="AG100" s="756"/>
      <c r="AH100" s="756"/>
      <c r="AI100" s="756"/>
      <c r="AJ100" s="756"/>
      <c r="AK100" s="756"/>
      <c r="AL100" s="756"/>
      <c r="AM100" s="756"/>
      <c r="AN100" s="756"/>
      <c r="AO100" s="756"/>
      <c r="AR100" s="779"/>
      <c r="CK100"/>
      <c r="CL100"/>
    </row>
    <row r="101" spans="4:90" ht="16.350000000000001" customHeight="1">
      <c r="W101" s="755" t="str">
        <f>'Translate&amp;Prices&amp;Logo'!$O$552</f>
        <v>Umieszczenie uchwytu</v>
      </c>
      <c r="X101" s="755"/>
      <c r="Y101" s="755"/>
      <c r="Z101" s="755"/>
      <c r="AA101" s="755"/>
      <c r="AB101" s="481"/>
      <c r="AC101" s="756">
        <f>IFERROR(VLOOKUP(Ram_3!$H$27,BM42:BN65,2,0),0)</f>
        <v>0</v>
      </c>
      <c r="AD101" s="756"/>
      <c r="AE101" s="756"/>
      <c r="AF101" s="756"/>
      <c r="AG101" s="756"/>
      <c r="AH101" s="756"/>
      <c r="AI101" s="756"/>
      <c r="AJ101" s="756"/>
      <c r="AK101" s="756"/>
      <c r="AL101" s="756"/>
      <c r="AM101" s="756"/>
      <c r="AN101" s="756"/>
      <c r="AO101" s="756"/>
      <c r="AR101" s="779"/>
      <c r="CK101"/>
      <c r="CL101"/>
    </row>
    <row r="102" spans="4:90" ht="16.350000000000001" customHeight="1">
      <c r="W102" s="755" t="str">
        <f>('Translate&amp;Prices&amp;Logo'!$O$176)&amp;" "&amp;"-"&amp;" "&amp;('Translate&amp;Prices&amp;Logo'!$O$171)&amp;" "&amp;" "&amp;3</f>
        <v>Ilość sztuk - Ramka  3</v>
      </c>
      <c r="X102" s="755"/>
      <c r="Y102" s="755"/>
      <c r="Z102" s="755"/>
      <c r="AA102" s="755"/>
      <c r="AB102" s="481"/>
      <c r="AC102" s="756">
        <f>Ram_3!$H$28</f>
        <v>0</v>
      </c>
      <c r="AD102" s="756"/>
      <c r="AE102" s="756"/>
      <c r="AF102" s="756"/>
      <c r="AG102" s="756"/>
      <c r="AH102" s="756"/>
      <c r="AI102" s="756"/>
      <c r="AJ102" s="756"/>
      <c r="AK102" s="756"/>
      <c r="AL102" s="756"/>
      <c r="AM102" s="756"/>
      <c r="AN102" s="756"/>
      <c r="AO102" s="756"/>
      <c r="AR102" s="779"/>
      <c r="CK102"/>
      <c r="CL102"/>
    </row>
    <row r="103" spans="4:90" ht="16.350000000000001" customHeight="1">
      <c r="AE103" s="1"/>
      <c r="AF103" s="1"/>
      <c r="AR103" s="779"/>
      <c r="CK103"/>
      <c r="CL103"/>
    </row>
    <row r="104" spans="4:90" ht="14.85" customHeight="1">
      <c r="AR104" s="779"/>
      <c r="BS104" s="133" t="s">
        <v>2305</v>
      </c>
      <c r="BT104" s="133" t="s">
        <v>2301</v>
      </c>
      <c r="CK104"/>
      <c r="CL104"/>
    </row>
    <row r="105" spans="4:90" ht="14.85" customHeight="1">
      <c r="W105" s="767" t="s">
        <v>1604</v>
      </c>
      <c r="X105" s="767"/>
      <c r="Y105" s="767"/>
      <c r="Z105" s="767"/>
      <c r="AE105" s="767" t="s">
        <v>1605</v>
      </c>
      <c r="AF105" s="767"/>
      <c r="AG105" s="767"/>
      <c r="AH105" s="767"/>
      <c r="AR105" s="779"/>
      <c r="BS105" s="133" t="s">
        <v>2306</v>
      </c>
      <c r="BT105" s="133" t="s">
        <v>2302</v>
      </c>
      <c r="CK105"/>
      <c r="CL105"/>
    </row>
    <row r="106" spans="4:90" ht="14.85" customHeight="1">
      <c r="AE106" s="768"/>
      <c r="AF106" s="769"/>
      <c r="AG106" s="769"/>
      <c r="AH106" s="769"/>
      <c r="AI106" s="769"/>
      <c r="AJ106" s="769"/>
      <c r="AK106" s="769"/>
      <c r="AL106" s="769"/>
      <c r="AM106" s="769"/>
      <c r="AN106" s="770"/>
      <c r="AR106" s="779"/>
      <c r="BS106" s="133" t="s">
        <v>2307</v>
      </c>
      <c r="BT106" s="133" t="s">
        <v>2303</v>
      </c>
      <c r="CK106"/>
      <c r="CL106"/>
    </row>
    <row r="107" spans="4:90" ht="14.85" customHeight="1">
      <c r="AE107" s="771"/>
      <c r="AF107" s="772"/>
      <c r="AG107" s="772"/>
      <c r="AH107" s="772"/>
      <c r="AI107" s="772"/>
      <c r="AJ107" s="772"/>
      <c r="AK107" s="772"/>
      <c r="AL107" s="772"/>
      <c r="AM107" s="772"/>
      <c r="AN107" s="773"/>
      <c r="AR107" s="779"/>
      <c r="BS107" s="133" t="s">
        <v>2308</v>
      </c>
      <c r="BT107" s="133" t="s">
        <v>2304</v>
      </c>
      <c r="CK107"/>
      <c r="CL107"/>
    </row>
    <row r="108" spans="4:90" ht="14.85" customHeight="1">
      <c r="AE108" s="771"/>
      <c r="AF108" s="772"/>
      <c r="AG108" s="772"/>
      <c r="AH108" s="772"/>
      <c r="AI108" s="772"/>
      <c r="AJ108" s="772"/>
      <c r="AK108" s="772"/>
      <c r="AL108" s="772"/>
      <c r="AM108" s="772"/>
      <c r="AN108" s="773"/>
      <c r="AR108" s="779"/>
      <c r="CK108"/>
      <c r="CL108"/>
    </row>
    <row r="109" spans="4:90" ht="14.85" customHeight="1">
      <c r="D109" s="766">
        <f>IF(OR(Ram_3!$AC$25="x",Ram_3!$AJ$26="x",Ram_3!$AC$9="x",Ram_3!$AJ$7="x",Ram_3!$AB$16="x",Ram_3!$AM$23="x",Ram_3!$AN$19="x",Ram_3!$AD$10="x"),'Translate&amp;Prices&amp;Logo'!$B$590,0)</f>
        <v>0</v>
      </c>
      <c r="E109" s="766"/>
      <c r="F109" s="766"/>
      <c r="G109" s="766"/>
      <c r="H109" s="766"/>
      <c r="I109" s="766"/>
      <c r="J109" s="766"/>
      <c r="K109" s="766"/>
      <c r="L109" s="766"/>
      <c r="M109" s="766"/>
      <c r="N109" s="766"/>
      <c r="O109" s="766"/>
      <c r="P109" s="766"/>
      <c r="AE109" s="771"/>
      <c r="AF109" s="772"/>
      <c r="AG109" s="772"/>
      <c r="AH109" s="772"/>
      <c r="AI109" s="772"/>
      <c r="AJ109" s="772"/>
      <c r="AK109" s="772"/>
      <c r="AL109" s="772"/>
      <c r="AM109" s="772"/>
      <c r="AN109" s="773"/>
      <c r="AR109" s="779"/>
      <c r="CK109"/>
      <c r="CL109"/>
    </row>
    <row r="110" spans="4:90" ht="14.85" customHeight="1">
      <c r="AE110" s="771"/>
      <c r="AF110" s="772"/>
      <c r="AG110" s="772"/>
      <c r="AH110" s="772"/>
      <c r="AI110" s="772"/>
      <c r="AJ110" s="772"/>
      <c r="AK110" s="772"/>
      <c r="AL110" s="772"/>
      <c r="AM110" s="772"/>
      <c r="AN110" s="773"/>
      <c r="AR110" s="779"/>
      <c r="CK110"/>
      <c r="CL110"/>
    </row>
    <row r="111" spans="4:90" ht="14.85" customHeight="1" thickBot="1">
      <c r="AE111" s="771"/>
      <c r="AF111" s="772"/>
      <c r="AG111" s="772"/>
      <c r="AH111" s="772"/>
      <c r="AI111" s="772"/>
      <c r="AJ111" s="772"/>
      <c r="AK111" s="772"/>
      <c r="AL111" s="772"/>
      <c r="AM111" s="772"/>
      <c r="AN111" s="773"/>
      <c r="AR111" s="779"/>
      <c r="CK111"/>
      <c r="CL111"/>
    </row>
    <row r="112" spans="4:90" ht="14.85" customHeight="1" thickBot="1">
      <c r="G112" s="745" t="str">
        <f>'Translate&amp;Prices&amp;Logo'!$O$177</f>
        <v>Szerokość</v>
      </c>
      <c r="H112" s="746">
        <f>Ram_1!AG102</f>
        <v>0</v>
      </c>
      <c r="I112" s="746">
        <f>Ram_1!AH102</f>
        <v>0</v>
      </c>
      <c r="J112" s="747">
        <f>Ram_3!AI30</f>
        <v>0</v>
      </c>
      <c r="K112" s="747">
        <f>Ram_1!AJ102</f>
        <v>0</v>
      </c>
      <c r="L112" s="748">
        <f>Ram_1!AK102</f>
        <v>0</v>
      </c>
      <c r="AE112" s="771"/>
      <c r="AF112" s="772"/>
      <c r="AG112" s="772"/>
      <c r="AH112" s="772"/>
      <c r="AI112" s="772"/>
      <c r="AJ112" s="772"/>
      <c r="AK112" s="772"/>
      <c r="AL112" s="772"/>
      <c r="AM112" s="772"/>
      <c r="AN112" s="773"/>
      <c r="AR112" s="779"/>
      <c r="CK112"/>
      <c r="CL112"/>
    </row>
    <row r="113" spans="1:101" ht="21" customHeight="1">
      <c r="AE113" s="774"/>
      <c r="AF113" s="775"/>
      <c r="AG113" s="775"/>
      <c r="AH113" s="775"/>
      <c r="AI113" s="775"/>
      <c r="AJ113" s="775"/>
      <c r="AK113" s="775"/>
      <c r="AL113" s="775"/>
      <c r="AM113" s="775"/>
      <c r="AN113" s="776"/>
      <c r="AR113" s="779"/>
      <c r="CK113"/>
      <c r="CL113"/>
    </row>
    <row r="114" spans="1:101" ht="14.85" customHeight="1">
      <c r="AR114" s="779"/>
      <c r="CK114"/>
      <c r="CL114"/>
      <c r="CM114" s="31"/>
      <c r="CN114" s="31"/>
      <c r="CO114" s="31"/>
      <c r="CP114" s="31"/>
      <c r="CQ114" s="31"/>
      <c r="CR114" s="31"/>
      <c r="CS114" s="31"/>
      <c r="CT114" s="31"/>
      <c r="CU114" s="31"/>
      <c r="CV114" s="31"/>
      <c r="CW114" s="31"/>
    </row>
    <row r="115" spans="1:101" ht="14.85" customHeight="1">
      <c r="AR115" s="779"/>
      <c r="CK115"/>
      <c r="CL115"/>
    </row>
    <row r="116" spans="1:101" ht="14.85" customHeight="1" thickBo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24"/>
      <c r="AF116" s="125"/>
      <c r="AG116" s="18"/>
      <c r="AH116" s="18"/>
      <c r="AI116" s="18"/>
      <c r="AJ116" s="18"/>
      <c r="AK116" s="18"/>
      <c r="AL116" s="18"/>
      <c r="AM116" s="18"/>
      <c r="AN116" s="18"/>
      <c r="AO116" s="18"/>
      <c r="AP116" s="18"/>
      <c r="AQ116" s="18"/>
      <c r="AR116" s="18"/>
      <c r="CK116"/>
      <c r="CL116"/>
    </row>
    <row r="117" spans="1:101" ht="35.1" customHeight="1" thickBot="1">
      <c r="J117" s="121"/>
      <c r="K117" s="121"/>
      <c r="L117" s="121"/>
      <c r="M117" s="121"/>
      <c r="N117" s="121"/>
      <c r="O117" s="121"/>
      <c r="P117" s="121"/>
      <c r="Q117" s="121"/>
      <c r="R117" s="121"/>
      <c r="S117" s="121"/>
      <c r="T117" s="121"/>
      <c r="U117" s="121"/>
      <c r="V117" s="121"/>
      <c r="W117" s="765" t="str">
        <f>'Translate&amp;Prices&amp;Logo'!$O$258</f>
        <v>Numer zamówienia</v>
      </c>
      <c r="X117" s="765"/>
      <c r="Y117" s="765"/>
      <c r="Z117" s="765"/>
      <c r="AA117" s="765"/>
      <c r="AB117" s="56"/>
      <c r="AC117" s="762">
        <f>Ram_4!AS5</f>
        <v>0</v>
      </c>
      <c r="AD117" s="763"/>
      <c r="AE117" s="763"/>
      <c r="AF117" s="763"/>
      <c r="AG117" s="763"/>
      <c r="AH117" s="763"/>
      <c r="AI117" s="763"/>
      <c r="AJ117" s="763"/>
      <c r="AK117" s="763"/>
      <c r="AL117" s="763"/>
      <c r="AM117" s="763"/>
      <c r="AN117" s="763"/>
      <c r="AO117" s="764"/>
      <c r="AR117" s="779" t="s">
        <v>1609</v>
      </c>
      <c r="CK117"/>
      <c r="CL117"/>
    </row>
    <row r="118" spans="1:101" ht="16.350000000000001" customHeight="1">
      <c r="W118" s="755" t="str">
        <f>'Translate&amp;Prices&amp;Logo'!$O$544</f>
        <v>Połączenie 2 profili</v>
      </c>
      <c r="X118" s="755"/>
      <c r="Y118" s="755"/>
      <c r="Z118" s="755"/>
      <c r="AA118" s="755"/>
      <c r="AB118" s="481"/>
      <c r="AC118" s="780" t="str">
        <f>IF(kombinace_4!$H$1=TRUE,"Tak","Nie")</f>
        <v>Nie</v>
      </c>
      <c r="AD118" s="780"/>
      <c r="AE118" s="780"/>
      <c r="AF118" s="780"/>
      <c r="AG118" s="780"/>
      <c r="AH118" s="780"/>
      <c r="AI118" s="780"/>
      <c r="AJ118" s="780"/>
      <c r="AK118" s="780"/>
      <c r="AL118" s="780"/>
      <c r="AM118" s="780"/>
      <c r="AN118" s="780"/>
      <c r="AO118" s="780"/>
      <c r="AR118" s="779"/>
      <c r="CK118"/>
      <c r="CL118"/>
    </row>
    <row r="119" spans="1:101" ht="16.350000000000001" customHeight="1">
      <c r="W119" s="755" t="str">
        <f>'Translate&amp;Prices&amp;Logo'!$O$174</f>
        <v>Rodzaj profilu</v>
      </c>
      <c r="X119" s="755"/>
      <c r="Y119" s="755"/>
      <c r="Z119" s="755"/>
      <c r="AA119" s="755"/>
      <c r="AB119" s="481"/>
      <c r="AC119" s="756">
        <f>IFERROR(VLOOKUP(Ram_4!$H$8,'Translate&amp;Prices&amp;Logo'!$AA$1:$AB$456,2,0),Ram_4!$H$8)</f>
        <v>0</v>
      </c>
      <c r="AD119" s="756"/>
      <c r="AE119" s="756"/>
      <c r="AF119" s="756"/>
      <c r="AG119" s="756"/>
      <c r="AH119" s="756"/>
      <c r="AI119" s="756"/>
      <c r="AJ119" s="756"/>
      <c r="AK119" s="756"/>
      <c r="AL119" s="756"/>
      <c r="AM119" s="756"/>
      <c r="AN119" s="756"/>
      <c r="AO119" s="756"/>
      <c r="AR119" s="779"/>
      <c r="CK119"/>
      <c r="CL119"/>
    </row>
    <row r="120" spans="1:101" ht="16.350000000000001" customHeight="1">
      <c r="W120" s="755" t="str">
        <f>'Translate&amp;Prices&amp;Logo'!$O$545</f>
        <v>Szprosy</v>
      </c>
      <c r="X120" s="755"/>
      <c r="Y120" s="755"/>
      <c r="Z120" s="755"/>
      <c r="AA120" s="755"/>
      <c r="AB120" s="481"/>
      <c r="AC120" s="756" t="str">
        <f>IFERROR(VLOOKUP(Ram_4!$AU$10,AU120:AV123,2,0),0)</f>
        <v>Nie</v>
      </c>
      <c r="AD120" s="756"/>
      <c r="AE120" s="756"/>
      <c r="AF120" s="756"/>
      <c r="AG120" s="756"/>
      <c r="AH120" s="756"/>
      <c r="AI120" s="756"/>
      <c r="AJ120" s="756"/>
      <c r="AK120" s="756"/>
      <c r="AL120" s="756"/>
      <c r="AM120" s="756"/>
      <c r="AN120" s="756"/>
      <c r="AO120" s="756"/>
      <c r="AR120" s="779"/>
      <c r="AU120">
        <v>0</v>
      </c>
      <c r="AV120" t="str">
        <f>'Translate&amp;Prices&amp;Logo'!$O$559</f>
        <v>Nie</v>
      </c>
      <c r="AZ120">
        <v>2</v>
      </c>
      <c r="BA120" t="str">
        <f>'Translate&amp;Prices&amp;Logo'!$O$553</f>
        <v>Zawiasy</v>
      </c>
      <c r="BX120" s="1">
        <v>1</v>
      </c>
      <c r="BY120" s="1" t="str">
        <f>'Translate&amp;Prices&amp;Logo'!$O$102</f>
        <v>Bez modyfikacji</v>
      </c>
      <c r="CA120"/>
      <c r="CB120"/>
    </row>
    <row r="121" spans="1:101" ht="16.350000000000001" customHeight="1">
      <c r="W121" s="126"/>
      <c r="X121" s="126"/>
      <c r="Y121" s="126"/>
      <c r="Z121" s="126"/>
      <c r="AA121" s="126"/>
      <c r="AB121" s="481"/>
      <c r="AC121" s="777" t="str">
        <f>'Translate&amp;Prices&amp;Logo'!$O$560</f>
        <v>Poziomo (termin dostawy 4 tygodnie)</v>
      </c>
      <c r="AD121" s="777"/>
      <c r="AE121" s="777"/>
      <c r="AF121" s="777"/>
      <c r="AG121" s="777"/>
      <c r="AH121" s="777"/>
      <c r="AI121" s="777"/>
      <c r="AJ121" s="777" t="str">
        <f>'Translate&amp;Prices&amp;Logo'!$O$561</f>
        <v>Pionowo (termin dostawy 4 tygodnie)</v>
      </c>
      <c r="AK121" s="777"/>
      <c r="AL121" s="777"/>
      <c r="AM121" s="777"/>
      <c r="AN121" s="777"/>
      <c r="AO121" s="777"/>
      <c r="AR121" s="779"/>
      <c r="AU121">
        <v>1</v>
      </c>
      <c r="AV121" t="str">
        <f>'Translate&amp;Prices&amp;Logo'!$O$560</f>
        <v>Poziomo (termin dostawy 4 tygodnie)</v>
      </c>
      <c r="AZ121">
        <v>3</v>
      </c>
      <c r="BA121" t="str">
        <f>'Translate&amp;Prices&amp;Logo'!$O$554</f>
        <v>Podnośniki</v>
      </c>
      <c r="BX121" s="1">
        <v>2</v>
      </c>
      <c r="BY121" s="1" t="str">
        <f>'Translate&amp;Prices&amp;Logo'!$O$103</f>
        <v>Hartowane</v>
      </c>
      <c r="CA121"/>
      <c r="CB121"/>
    </row>
    <row r="122" spans="1:101" ht="16.350000000000001" customHeight="1">
      <c r="W122" s="755" t="str">
        <f>('Translate&amp;Prices&amp;Logo'!$O$545)&amp;" "&amp;"("&amp;'Translate&amp;Prices&amp;Logo'!$O$176&amp;")"</f>
        <v>Szprosy (Ilość sztuk)</v>
      </c>
      <c r="X122" s="755"/>
      <c r="Y122" s="755"/>
      <c r="Z122" s="755"/>
      <c r="AA122" s="755"/>
      <c r="AB122" s="481"/>
      <c r="AC122" s="756">
        <f>Ram_4!$H$11</f>
        <v>0</v>
      </c>
      <c r="AD122" s="756"/>
      <c r="AE122" s="756"/>
      <c r="AF122" s="756"/>
      <c r="AG122" s="756"/>
      <c r="AH122" s="756"/>
      <c r="AI122" s="756"/>
      <c r="AJ122" s="756">
        <f>Ram_4!$M$11</f>
        <v>0</v>
      </c>
      <c r="AK122" s="756"/>
      <c r="AL122" s="756"/>
      <c r="AM122" s="756"/>
      <c r="AN122" s="756"/>
      <c r="AO122" s="756"/>
      <c r="AR122" s="779"/>
      <c r="AU122">
        <v>2</v>
      </c>
      <c r="AV122" t="str">
        <f>'Translate&amp;Prices&amp;Logo'!$O$561</f>
        <v>Pionowo (termin dostawy 4 tygodnie)</v>
      </c>
      <c r="BX122" s="1">
        <v>3</v>
      </c>
      <c r="BY122" s="1" t="str">
        <f>'Translate&amp;Prices&amp;Logo'!$O$104</f>
        <v>Folia</v>
      </c>
      <c r="CA122"/>
      <c r="CB122"/>
    </row>
    <row r="123" spans="1:101" ht="16.350000000000001" customHeight="1">
      <c r="W123" s="755" t="str">
        <f>'Translate&amp;Prices&amp;Logo'!$O$260</f>
        <v>Typ okucia</v>
      </c>
      <c r="X123" s="755"/>
      <c r="Y123" s="755"/>
      <c r="Z123" s="755"/>
      <c r="AA123" s="755"/>
      <c r="AB123" s="481"/>
      <c r="AC123" s="756">
        <f>IFERROR(VLOOKUP(Ram_4!$AU$9,AZ120:BA121,2,0),0)</f>
        <v>0</v>
      </c>
      <c r="AD123" s="756"/>
      <c r="AE123" s="756"/>
      <c r="AF123" s="756"/>
      <c r="AG123" s="756"/>
      <c r="AH123" s="756"/>
      <c r="AI123" s="756"/>
      <c r="AJ123" s="756"/>
      <c r="AK123" s="756"/>
      <c r="AL123" s="756"/>
      <c r="AM123" s="756"/>
      <c r="AN123" s="756"/>
      <c r="AO123" s="756"/>
      <c r="AR123" s="779"/>
      <c r="AU123">
        <v>3</v>
      </c>
      <c r="AV123" t="str">
        <f>'Translate&amp;Prices&amp;Logo'!$O$562</f>
        <v>Poziomo i pionowo (termin dostawy 4 tygodnie)</v>
      </c>
      <c r="CA123"/>
      <c r="CB123"/>
    </row>
    <row r="124" spans="1:101" ht="16.350000000000001" customHeight="1">
      <c r="W124" s="755" t="str">
        <f>'Translate&amp;Prices&amp;Logo'!$O$546</f>
        <v>Marka okucia</v>
      </c>
      <c r="X124" s="755"/>
      <c r="Y124" s="755"/>
      <c r="Z124" s="755"/>
      <c r="AA124" s="755"/>
      <c r="AB124" s="481"/>
      <c r="AC124" s="756">
        <f>Ram_4!$H$13</f>
        <v>0</v>
      </c>
      <c r="AD124" s="756"/>
      <c r="AE124" s="756"/>
      <c r="AF124" s="756"/>
      <c r="AG124" s="756"/>
      <c r="AH124" s="756"/>
      <c r="AI124" s="756"/>
      <c r="AJ124" s="756"/>
      <c r="AK124" s="756"/>
      <c r="AL124" s="756"/>
      <c r="AM124" s="756"/>
      <c r="AN124" s="756"/>
      <c r="AO124" s="756"/>
      <c r="AR124" s="779"/>
      <c r="CA124"/>
      <c r="CB124"/>
    </row>
    <row r="125" spans="1:101" ht="16.350000000000001" customHeight="1" thickBot="1">
      <c r="W125" s="755" t="str">
        <f>'Translate&amp;Prices&amp;Logo'!$O$548</f>
        <v>Nałożenie</v>
      </c>
      <c r="X125" s="755"/>
      <c r="Y125" s="755"/>
      <c r="Z125" s="755"/>
      <c r="AA125" s="755"/>
      <c r="AB125" s="481"/>
      <c r="AC125" s="756">
        <f>IFERROR(VLOOKUP(Ram_4!$H$14,$BD$12:$BE$29,2,0),0)</f>
        <v>0</v>
      </c>
      <c r="AD125" s="756"/>
      <c r="AE125" s="756"/>
      <c r="AF125" s="756"/>
      <c r="AG125" s="756"/>
      <c r="AH125" s="756"/>
      <c r="AI125" s="756"/>
      <c r="AJ125" s="756"/>
      <c r="AK125" s="756"/>
      <c r="AL125" s="756"/>
      <c r="AM125" s="756"/>
      <c r="AN125" s="756"/>
      <c r="AO125" s="756"/>
      <c r="AR125" s="779"/>
      <c r="CA125"/>
      <c r="CB125"/>
    </row>
    <row r="126" spans="1:101" ht="16.350000000000001" customHeight="1">
      <c r="S126" s="751">
        <f>Ram_4!AR14</f>
        <v>0</v>
      </c>
      <c r="W126" s="755" t="str">
        <f>'Translate&amp;Prices&amp;Logo'!$O$547</f>
        <v>Wariant okucia</v>
      </c>
      <c r="X126" s="755"/>
      <c r="Y126" s="755"/>
      <c r="Z126" s="755"/>
      <c r="AA126" s="755"/>
      <c r="AB126" s="481"/>
      <c r="AC126" s="758">
        <f>IFERROR(VLOOKUP(Ram_4!$H$15,kombinace_1!$ED$2:$EE$758,2,0),Ram_4!$H$15)</f>
        <v>0</v>
      </c>
      <c r="AD126" s="758"/>
      <c r="AE126" s="758"/>
      <c r="AF126" s="758"/>
      <c r="AG126" s="758"/>
      <c r="AH126" s="758"/>
      <c r="AI126" s="758"/>
      <c r="AJ126" s="756" t="str">
        <f>IF(AC126='Translate&amp;Prices&amp;Logo'!C700,VLOOKUP(Ram_4!H17,'Translate&amp;Prices&amp;Logo'!C701:D748,2,0),"")</f>
        <v/>
      </c>
      <c r="AK126" s="756"/>
      <c r="AL126" s="756"/>
      <c r="AM126" s="756"/>
      <c r="AN126" s="756"/>
      <c r="AO126" s="756"/>
      <c r="AR126" s="779"/>
      <c r="CA126"/>
      <c r="CB126"/>
    </row>
    <row r="127" spans="1:101" ht="16.350000000000001" customHeight="1">
      <c r="S127" s="752">
        <f>Ram_1!AR123</f>
        <v>0</v>
      </c>
      <c r="W127" s="755" t="str">
        <f>'Translate&amp;Prices&amp;Logo'!$O$220</f>
        <v>Wybierz pozycję ramki</v>
      </c>
      <c r="X127" s="755"/>
      <c r="Y127" s="755"/>
      <c r="Z127" s="755"/>
      <c r="AA127" s="755"/>
      <c r="AB127" s="756">
        <f>IFERROR(VLOOKUP(Ram_4!$F$16,BI12:BJ23,2,0),0)</f>
        <v>0</v>
      </c>
      <c r="AC127" s="756"/>
      <c r="AD127" s="756"/>
      <c r="AE127" s="756"/>
      <c r="AF127" s="756"/>
      <c r="AG127" s="760" t="str">
        <f>'Translate&amp;Prices&amp;Logo'!$O$234</f>
        <v>Rodzaj drugiej ramki</v>
      </c>
      <c r="AH127" s="760"/>
      <c r="AI127" s="760"/>
      <c r="AJ127" s="756">
        <f>IFERROR(VLOOKUP(Ram_4!$N$16,BM12:BN41,2,0),0)</f>
        <v>0</v>
      </c>
      <c r="AK127" s="756"/>
      <c r="AL127" s="756"/>
      <c r="AM127" s="756"/>
      <c r="AN127" s="756"/>
      <c r="AO127" s="756"/>
      <c r="AR127" s="779"/>
      <c r="CA127"/>
      <c r="CB127"/>
    </row>
    <row r="128" spans="1:101" ht="16.350000000000001" customHeight="1">
      <c r="S128" s="752">
        <f>Ram_1!AR124</f>
        <v>0</v>
      </c>
      <c r="W128" s="755" t="str">
        <f>IF(AC123='Translate&amp;Prices&amp;Logo'!O553,'Translate&amp;Prices&amp;Logo'!O240,'Translate&amp;Prices&amp;Logo'!$O$228)</f>
        <v>Umieszczenie</v>
      </c>
      <c r="X128" s="755"/>
      <c r="Y128" s="755"/>
      <c r="Z128" s="755"/>
      <c r="AA128" s="755"/>
      <c r="AB128" s="481"/>
      <c r="AC128" s="756" t="str">
        <f>IFERROR((IF(Ram_4!H12='Translate&amp;Prices&amp;Logo'!B554,VLOOKUP(Ram_4!$N$16,BM42:BN71,2,0),VLOOKUP(Ram_4!$H$17,BM42:BN65,2,0))),"")</f>
        <v/>
      </c>
      <c r="AD128" s="756"/>
      <c r="AE128" s="756"/>
      <c r="AF128" s="756"/>
      <c r="AG128" s="756"/>
      <c r="AH128" s="756"/>
      <c r="AI128" s="756"/>
      <c r="AJ128" s="756"/>
      <c r="AK128" s="756"/>
      <c r="AL128" s="756"/>
      <c r="AM128" s="756"/>
      <c r="AN128" s="756"/>
      <c r="AO128" s="756"/>
      <c r="AR128" s="779"/>
      <c r="CA128"/>
      <c r="CB128"/>
    </row>
    <row r="129" spans="19:80" ht="16.350000000000001" customHeight="1">
      <c r="S129" s="752">
        <f>Ram_1!AR125</f>
        <v>0</v>
      </c>
      <c r="W129" s="757" t="str">
        <f>IF(Ram_4!AU9=3,'Translate&amp;Prices&amp;Logo'!$O$549,"")</f>
        <v/>
      </c>
      <c r="X129" s="757"/>
      <c r="Y129" s="757"/>
      <c r="Z129" s="757"/>
      <c r="AA129" s="757"/>
      <c r="AB129" s="481"/>
      <c r="AC129" s="756">
        <f>IFERROR((VLOOKUP(Ram_4!$H$18,$CK$2:$CL$90,2,0)),Ram_4!$H$18)</f>
        <v>0</v>
      </c>
      <c r="AD129" s="756"/>
      <c r="AE129" s="756"/>
      <c r="AF129" s="756"/>
      <c r="AG129" s="756"/>
      <c r="AH129" s="756"/>
      <c r="AI129" s="756"/>
      <c r="AJ129" s="756"/>
      <c r="AK129" s="756"/>
      <c r="AL129" s="756"/>
      <c r="AM129" s="756"/>
      <c r="AN129" s="756"/>
      <c r="AO129" s="756"/>
      <c r="AR129" s="779"/>
      <c r="CA129"/>
      <c r="CB129"/>
    </row>
    <row r="130" spans="19:80" ht="16.350000000000001" customHeight="1">
      <c r="S130" s="752">
        <f>Ram_1!AR126</f>
        <v>0</v>
      </c>
      <c r="W130" s="755" t="str">
        <f>'Translate&amp;Prices&amp;Logo'!$O$225</f>
        <v>Ilość zawiasów na 1 ramkę</v>
      </c>
      <c r="X130" s="755"/>
      <c r="Y130" s="755"/>
      <c r="Z130" s="755"/>
      <c r="AA130" s="755"/>
      <c r="AB130" s="481"/>
      <c r="AC130" s="756">
        <f>Ram_4!$H$19</f>
        <v>0</v>
      </c>
      <c r="AD130" s="756"/>
      <c r="AE130" s="756"/>
      <c r="AF130" s="756"/>
      <c r="AG130" s="756"/>
      <c r="AH130" s="756"/>
      <c r="AI130" s="756"/>
      <c r="AJ130" s="756"/>
      <c r="AK130" s="756"/>
      <c r="AL130" s="756"/>
      <c r="AM130" s="756"/>
      <c r="AN130" s="756"/>
      <c r="AO130" s="756"/>
      <c r="AR130" s="779"/>
      <c r="CA130"/>
      <c r="CB130"/>
    </row>
    <row r="131" spans="19:80" ht="16.350000000000001" customHeight="1">
      <c r="S131" s="749" t="str">
        <f>'Translate&amp;Prices&amp;Logo'!$O$178</f>
        <v>Wysokość</v>
      </c>
      <c r="W131" s="755" t="str">
        <f>IFERROR(VLOOKUP(Ram_4!H17,kombinace_4!BY32:CD35,5,0),"")</f>
        <v/>
      </c>
      <c r="X131" s="755"/>
      <c r="Y131" s="755"/>
      <c r="Z131" s="755"/>
      <c r="AA131" s="755"/>
      <c r="AB131" s="756">
        <f>Ram_4!$F$20</f>
        <v>100</v>
      </c>
      <c r="AC131" s="756"/>
      <c r="AD131" s="756"/>
      <c r="AE131" s="756"/>
      <c r="AF131" s="756"/>
      <c r="AG131" s="755" t="str">
        <f>IFERROR(VLOOKUP(Ram_4!H17,kombinace_4!$BY$32:$CD$35,6,0),"")</f>
        <v/>
      </c>
      <c r="AH131" s="755"/>
      <c r="AI131" s="755"/>
      <c r="AJ131" s="755"/>
      <c r="AK131" s="755"/>
      <c r="AL131" s="756">
        <f>Ram_4!$N$20</f>
        <v>100</v>
      </c>
      <c r="AM131" s="756"/>
      <c r="AN131" s="756"/>
      <c r="AO131" s="756"/>
      <c r="AR131" s="779"/>
      <c r="CA131"/>
      <c r="CB131"/>
    </row>
    <row r="132" spans="19:80" ht="16.350000000000001" customHeight="1">
      <c r="S132" s="749">
        <f>Ram_1!AR128</f>
        <v>0</v>
      </c>
      <c r="W132" s="243" t="str">
        <f>'Translate&amp;Prices&amp;Logo'!$O$655</f>
        <v>Wypełnienie z siatki</v>
      </c>
      <c r="X132" s="126"/>
      <c r="Y132" s="126"/>
      <c r="Z132" s="126"/>
      <c r="AA132" s="126"/>
      <c r="AB132" s="481"/>
      <c r="AC132" s="759" t="str">
        <f>IF(kombinace_4!FC2=TRUE,"Tak","Nie")</f>
        <v>Nie</v>
      </c>
      <c r="AD132" s="759"/>
      <c r="AE132" s="759"/>
      <c r="AF132" s="759"/>
      <c r="AG132" s="759"/>
      <c r="AH132" s="759"/>
      <c r="AI132" s="759"/>
      <c r="AJ132" s="759"/>
      <c r="AK132" s="759"/>
      <c r="AL132" s="759"/>
      <c r="AM132" s="759"/>
      <c r="AN132" s="759"/>
      <c r="AO132" s="759"/>
      <c r="AR132" s="779"/>
      <c r="CA132"/>
      <c r="CB132"/>
    </row>
    <row r="133" spans="19:80" ht="16.350000000000001" customHeight="1">
      <c r="S133" s="749">
        <f>Ram_1!AR129</f>
        <v>0</v>
      </c>
      <c r="W133" s="755" t="str">
        <f>'Translate&amp;Prices&amp;Logo'!$O$175</f>
        <v>Rodzaj szkła</v>
      </c>
      <c r="X133" s="755"/>
      <c r="Y133" s="755"/>
      <c r="Z133" s="755"/>
      <c r="AA133" s="755"/>
      <c r="AB133" s="481"/>
      <c r="AC133" s="756" t="str">
        <f>IFERROR(VLOOKUP(kombinace_4!$V$1,BX120:BY122,2,0),0)</f>
        <v>Bez modyfikacji</v>
      </c>
      <c r="AD133" s="756"/>
      <c r="AE133" s="756"/>
      <c r="AF133" s="756"/>
      <c r="AG133" s="756"/>
      <c r="AH133" s="756"/>
      <c r="AI133" s="756"/>
      <c r="AJ133" s="756"/>
      <c r="AK133" s="756"/>
      <c r="AL133" s="756"/>
      <c r="AM133" s="756"/>
      <c r="AN133" s="756"/>
      <c r="AO133" s="756"/>
      <c r="AR133" s="779"/>
      <c r="CA133"/>
      <c r="CB133"/>
    </row>
    <row r="134" spans="19:80" ht="16.350000000000001" customHeight="1">
      <c r="S134" s="749">
        <f>Ram_1!AR130</f>
        <v>0</v>
      </c>
      <c r="W134" s="755" t="str">
        <f>'Translate&amp;Prices&amp;Logo'!$O$564</f>
        <v>Rodzaj folii</v>
      </c>
      <c r="X134" s="755"/>
      <c r="Y134" s="755"/>
      <c r="Z134" s="755"/>
      <c r="AA134" s="755"/>
      <c r="AB134" s="481"/>
      <c r="AC134" s="756">
        <f>IFERROR(VLOOKUP(Ram_4!$H$24,CA12:CB29,2,0),0)</f>
        <v>0</v>
      </c>
      <c r="AD134" s="756"/>
      <c r="AE134" s="756"/>
      <c r="AF134" s="756"/>
      <c r="AG134" s="756"/>
      <c r="AH134" s="756"/>
      <c r="AI134" s="756"/>
      <c r="AJ134" s="756"/>
      <c r="AK134" s="756"/>
      <c r="AL134" s="756"/>
      <c r="AM134" s="756"/>
      <c r="AN134" s="756"/>
      <c r="AO134" s="756"/>
      <c r="AR134" s="779"/>
      <c r="CA134"/>
      <c r="CB134"/>
    </row>
    <row r="135" spans="19:80" ht="16.350000000000001" customHeight="1" thickBot="1">
      <c r="S135" s="750">
        <f>Ram_1!AR131</f>
        <v>0</v>
      </c>
      <c r="W135" s="755" t="str">
        <f>'Translate&amp;Prices&amp;Logo'!$O$175</f>
        <v>Rodzaj szkła</v>
      </c>
      <c r="X135" s="755"/>
      <c r="Y135" s="755"/>
      <c r="Z135" s="755"/>
      <c r="AA135" s="755"/>
      <c r="AB135" s="481"/>
      <c r="AC135" s="756">
        <f>IFERROR(VLOOKUP(Ram_4!$H$25,'Translate&amp;Prices&amp;Logo'!$AH$1:$AI$167,2,0),Ram_4!$H$25)</f>
        <v>0</v>
      </c>
      <c r="AD135" s="756"/>
      <c r="AE135" s="756"/>
      <c r="AF135" s="756"/>
      <c r="AG135" s="756"/>
      <c r="AH135" s="756"/>
      <c r="AI135" s="756"/>
      <c r="AJ135" s="756"/>
      <c r="AK135" s="756"/>
      <c r="AL135" s="756"/>
      <c r="AM135" s="756"/>
      <c r="AN135" s="756"/>
      <c r="AO135" s="756"/>
      <c r="AR135" s="779"/>
    </row>
    <row r="136" spans="19:80" ht="16.350000000000001" customHeight="1">
      <c r="W136" s="755" t="str">
        <f>'Translate&amp;Prices&amp;Logo'!$O$551</f>
        <v>Rozstaw uchwytu (mm)</v>
      </c>
      <c r="X136" s="755"/>
      <c r="Y136" s="755"/>
      <c r="Z136" s="755"/>
      <c r="AA136" s="755"/>
      <c r="AB136" s="481"/>
      <c r="AC136" s="756">
        <f>Ram_4!$H$26</f>
        <v>0</v>
      </c>
      <c r="AD136" s="756"/>
      <c r="AE136" s="756"/>
      <c r="AF136" s="756"/>
      <c r="AG136" s="756"/>
      <c r="AH136" s="756"/>
      <c r="AI136" s="756"/>
      <c r="AJ136" s="756"/>
      <c r="AK136" s="756"/>
      <c r="AL136" s="756"/>
      <c r="AM136" s="756"/>
      <c r="AN136" s="756"/>
      <c r="AO136" s="756"/>
      <c r="AR136" s="779"/>
    </row>
    <row r="137" spans="19:80" ht="16.350000000000001" customHeight="1">
      <c r="W137" s="755" t="str">
        <f>'Translate&amp;Prices&amp;Logo'!$O$552</f>
        <v>Umieszczenie uchwytu</v>
      </c>
      <c r="X137" s="755"/>
      <c r="Y137" s="755"/>
      <c r="Z137" s="755"/>
      <c r="AA137" s="755"/>
      <c r="AB137" s="481"/>
      <c r="AC137" s="756">
        <f>IFERROR(VLOOKUP(Ram_4!$H$27,BM42:BN65,2,0),0)</f>
        <v>0</v>
      </c>
      <c r="AD137" s="756"/>
      <c r="AE137" s="756"/>
      <c r="AF137" s="756"/>
      <c r="AG137" s="756"/>
      <c r="AH137" s="756"/>
      <c r="AI137" s="756"/>
      <c r="AJ137" s="756"/>
      <c r="AK137" s="756"/>
      <c r="AL137" s="756"/>
      <c r="AM137" s="756"/>
      <c r="AN137" s="756"/>
      <c r="AO137" s="756"/>
      <c r="AR137" s="779"/>
    </row>
    <row r="138" spans="19:80" ht="16.350000000000001" customHeight="1">
      <c r="W138" s="755" t="str">
        <f>('Translate&amp;Prices&amp;Logo'!$O$176)&amp;" "&amp;"-"&amp;" "&amp;('Translate&amp;Prices&amp;Logo'!$O$171)&amp;" "&amp;" "&amp;4</f>
        <v>Ilość sztuk - Ramka  4</v>
      </c>
      <c r="X138" s="755"/>
      <c r="Y138" s="755"/>
      <c r="Z138" s="755"/>
      <c r="AA138" s="755"/>
      <c r="AB138" s="481"/>
      <c r="AC138" s="756">
        <f>Ram_4!$H$28</f>
        <v>0</v>
      </c>
      <c r="AD138" s="756"/>
      <c r="AE138" s="756"/>
      <c r="AF138" s="756"/>
      <c r="AG138" s="756"/>
      <c r="AH138" s="756"/>
      <c r="AI138" s="756"/>
      <c r="AJ138" s="756"/>
      <c r="AK138" s="756"/>
      <c r="AL138" s="756"/>
      <c r="AM138" s="756"/>
      <c r="AN138" s="756"/>
      <c r="AO138" s="756"/>
      <c r="AR138" s="779"/>
    </row>
    <row r="139" spans="19:80" ht="16.350000000000001" customHeight="1">
      <c r="AE139" s="1"/>
      <c r="AF139" s="1"/>
      <c r="AR139" s="779"/>
    </row>
    <row r="140" spans="19:80" ht="14.85" customHeight="1">
      <c r="AR140" s="779"/>
    </row>
    <row r="141" spans="19:80" ht="14.85" customHeight="1">
      <c r="W141" s="767" t="s">
        <v>1604</v>
      </c>
      <c r="X141" s="767"/>
      <c r="Y141" s="767"/>
      <c r="Z141" s="767"/>
      <c r="AE141" s="767" t="s">
        <v>1605</v>
      </c>
      <c r="AF141" s="767"/>
      <c r="AG141" s="767"/>
      <c r="AH141" s="767"/>
      <c r="AR141" s="779"/>
    </row>
    <row r="142" spans="19:80" ht="14.85" customHeight="1">
      <c r="AE142" s="768"/>
      <c r="AF142" s="769"/>
      <c r="AG142" s="769"/>
      <c r="AH142" s="769"/>
      <c r="AI142" s="769"/>
      <c r="AJ142" s="769"/>
      <c r="AK142" s="769"/>
      <c r="AL142" s="769"/>
      <c r="AM142" s="769"/>
      <c r="AN142" s="770"/>
      <c r="AR142" s="779"/>
    </row>
    <row r="143" spans="19:80" ht="14.85" customHeight="1">
      <c r="AE143" s="771"/>
      <c r="AF143" s="772"/>
      <c r="AG143" s="772"/>
      <c r="AH143" s="772"/>
      <c r="AI143" s="772"/>
      <c r="AJ143" s="772"/>
      <c r="AK143" s="772"/>
      <c r="AL143" s="772"/>
      <c r="AM143" s="772"/>
      <c r="AN143" s="773"/>
      <c r="AR143" s="779"/>
    </row>
    <row r="144" spans="19:80" ht="14.85" customHeight="1">
      <c r="AE144" s="771"/>
      <c r="AF144" s="772"/>
      <c r="AG144" s="772"/>
      <c r="AH144" s="772"/>
      <c r="AI144" s="772"/>
      <c r="AJ144" s="772"/>
      <c r="AK144" s="772"/>
      <c r="AL144" s="772"/>
      <c r="AM144" s="772"/>
      <c r="AN144" s="773"/>
      <c r="AR144" s="779"/>
    </row>
    <row r="145" spans="1:80" ht="14.85" customHeight="1">
      <c r="D145" s="766">
        <f>IF(OR(Ram_4!$AC$25="x",Ram_4!$AJ$26="x",Ram_4!$AC$9="x",Ram_4!$AJ$7="x",Ram_4!$AB$16="x",Ram_4!$AM$23="x",Ram_4!$AN$19="x",Ram_4!$AD$10="x"),'Translate&amp;Prices&amp;Logo'!$B$590,0)</f>
        <v>0</v>
      </c>
      <c r="E145" s="766"/>
      <c r="F145" s="766"/>
      <c r="G145" s="766"/>
      <c r="H145" s="766"/>
      <c r="I145" s="766"/>
      <c r="J145" s="766"/>
      <c r="K145" s="766"/>
      <c r="L145" s="766"/>
      <c r="M145" s="766"/>
      <c r="N145" s="766"/>
      <c r="O145" s="766"/>
      <c r="P145" s="766"/>
      <c r="AE145" s="771"/>
      <c r="AF145" s="772"/>
      <c r="AG145" s="772"/>
      <c r="AH145" s="772"/>
      <c r="AI145" s="772"/>
      <c r="AJ145" s="772"/>
      <c r="AK145" s="772"/>
      <c r="AL145" s="772"/>
      <c r="AM145" s="772"/>
      <c r="AN145" s="773"/>
      <c r="AR145" s="779"/>
    </row>
    <row r="146" spans="1:80" ht="14.85" customHeight="1">
      <c r="AE146" s="771"/>
      <c r="AF146" s="772"/>
      <c r="AG146" s="772"/>
      <c r="AH146" s="772"/>
      <c r="AI146" s="772"/>
      <c r="AJ146" s="772"/>
      <c r="AK146" s="772"/>
      <c r="AL146" s="772"/>
      <c r="AM146" s="772"/>
      <c r="AN146" s="773"/>
      <c r="AR146" s="779"/>
    </row>
    <row r="147" spans="1:80" ht="14.85" customHeight="1" thickBot="1">
      <c r="AE147" s="771"/>
      <c r="AF147" s="772"/>
      <c r="AG147" s="772"/>
      <c r="AH147" s="772"/>
      <c r="AI147" s="772"/>
      <c r="AJ147" s="772"/>
      <c r="AK147" s="772"/>
      <c r="AL147" s="772"/>
      <c r="AM147" s="772"/>
      <c r="AN147" s="773"/>
      <c r="AR147" s="779"/>
    </row>
    <row r="148" spans="1:80" ht="14.85" customHeight="1" thickBot="1">
      <c r="G148" s="745" t="str">
        <f>'Translate&amp;Prices&amp;Logo'!$O$177</f>
        <v>Szerokość</v>
      </c>
      <c r="H148" s="746">
        <f>Ram_1!AG138</f>
        <v>0</v>
      </c>
      <c r="I148" s="746">
        <f>Ram_1!AH138</f>
        <v>0</v>
      </c>
      <c r="J148" s="747">
        <f>Ram_4!AI30</f>
        <v>0</v>
      </c>
      <c r="K148" s="747">
        <f>Ram_1!AJ138</f>
        <v>0</v>
      </c>
      <c r="L148" s="748">
        <f>Ram_1!AK138</f>
        <v>0</v>
      </c>
      <c r="AE148" s="771"/>
      <c r="AF148" s="772"/>
      <c r="AG148" s="772"/>
      <c r="AH148" s="772"/>
      <c r="AI148" s="772"/>
      <c r="AJ148" s="772"/>
      <c r="AK148" s="772"/>
      <c r="AL148" s="772"/>
      <c r="AM148" s="772"/>
      <c r="AN148" s="773"/>
      <c r="AR148" s="779"/>
    </row>
    <row r="149" spans="1:80" ht="21" customHeight="1">
      <c r="AE149" s="774"/>
      <c r="AF149" s="775"/>
      <c r="AG149" s="775"/>
      <c r="AH149" s="775"/>
      <c r="AI149" s="775"/>
      <c r="AJ149" s="775"/>
      <c r="AK149" s="775"/>
      <c r="AL149" s="775"/>
      <c r="AM149" s="775"/>
      <c r="AN149" s="776"/>
      <c r="AR149" s="779"/>
    </row>
    <row r="150" spans="1:80" ht="14.85" customHeight="1">
      <c r="AR150" s="779"/>
    </row>
    <row r="151" spans="1:80" ht="14.85" customHeight="1">
      <c r="AR151" s="779"/>
    </row>
    <row r="152" spans="1:80" ht="14.85" customHeight="1" thickBo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24"/>
      <c r="AF152" s="125"/>
      <c r="AG152" s="18"/>
      <c r="AH152" s="18"/>
      <c r="AI152" s="18"/>
      <c r="AJ152" s="18"/>
      <c r="AK152" s="18"/>
      <c r="AL152" s="18"/>
      <c r="AM152" s="18"/>
      <c r="AN152" s="18"/>
      <c r="AO152" s="18"/>
      <c r="AP152" s="18"/>
      <c r="AQ152" s="18"/>
      <c r="AR152" s="18"/>
    </row>
    <row r="153" spans="1:80" ht="35.1" customHeight="1" thickBot="1">
      <c r="J153" s="121"/>
      <c r="K153" s="121"/>
      <c r="L153" s="121"/>
      <c r="M153" s="121"/>
      <c r="N153" s="121"/>
      <c r="O153" s="121"/>
      <c r="P153" s="121"/>
      <c r="Q153" s="121"/>
      <c r="R153" s="121"/>
      <c r="S153" s="121"/>
      <c r="T153" s="121"/>
      <c r="U153" s="121"/>
      <c r="V153" s="121"/>
      <c r="W153" s="765" t="str">
        <f>'Translate&amp;Prices&amp;Logo'!$O$258</f>
        <v>Numer zamówienia</v>
      </c>
      <c r="X153" s="765"/>
      <c r="Y153" s="765"/>
      <c r="Z153" s="765"/>
      <c r="AA153" s="765"/>
      <c r="AB153" s="239"/>
      <c r="AC153" s="762">
        <f>Ram_5!AS5</f>
        <v>0</v>
      </c>
      <c r="AD153" s="763"/>
      <c r="AE153" s="763"/>
      <c r="AF153" s="763"/>
      <c r="AG153" s="763"/>
      <c r="AH153" s="763"/>
      <c r="AI153" s="763"/>
      <c r="AJ153" s="763"/>
      <c r="AK153" s="763"/>
      <c r="AL153" s="763"/>
      <c r="AM153" s="763"/>
      <c r="AN153" s="763"/>
      <c r="AO153" s="764"/>
      <c r="AR153" s="779" t="s">
        <v>1610</v>
      </c>
    </row>
    <row r="154" spans="1:80" ht="16.350000000000001" customHeight="1">
      <c r="W154" s="755" t="str">
        <f>'Translate&amp;Prices&amp;Logo'!$O$544</f>
        <v>Połączenie 2 profili</v>
      </c>
      <c r="X154" s="755"/>
      <c r="Y154" s="755"/>
      <c r="Z154" s="755"/>
      <c r="AA154" s="755"/>
      <c r="AB154" s="239"/>
      <c r="AC154" s="780" t="str">
        <f>IF(kombinace_5!$H$1=TRUE,"Tak","Nie")</f>
        <v>Nie</v>
      </c>
      <c r="AD154" s="780"/>
      <c r="AE154" s="780"/>
      <c r="AF154" s="780"/>
      <c r="AG154" s="780"/>
      <c r="AH154" s="780"/>
      <c r="AI154" s="780"/>
      <c r="AJ154" s="780"/>
      <c r="AK154" s="780"/>
      <c r="AL154" s="780"/>
      <c r="AM154" s="780"/>
      <c r="AN154" s="780"/>
      <c r="AO154" s="780"/>
      <c r="AR154" s="779"/>
    </row>
    <row r="155" spans="1:80" ht="16.350000000000001" customHeight="1">
      <c r="W155" s="755" t="str">
        <f>'Translate&amp;Prices&amp;Logo'!$O$174</f>
        <v>Rodzaj profilu</v>
      </c>
      <c r="X155" s="755"/>
      <c r="Y155" s="755"/>
      <c r="Z155" s="755"/>
      <c r="AA155" s="755"/>
      <c r="AB155" s="239"/>
      <c r="AC155" s="756">
        <f>IFERROR(VLOOKUP(Ram_5!$H$8,'Translate&amp;Prices&amp;Logo'!$AA$1:$AB$456,2,0),Ram_5!$H$8)</f>
        <v>0</v>
      </c>
      <c r="AD155" s="756"/>
      <c r="AE155" s="756"/>
      <c r="AF155" s="756"/>
      <c r="AG155" s="756"/>
      <c r="AH155" s="756"/>
      <c r="AI155" s="756"/>
      <c r="AJ155" s="756"/>
      <c r="AK155" s="756"/>
      <c r="AL155" s="756"/>
      <c r="AM155" s="756"/>
      <c r="AN155" s="756"/>
      <c r="AO155" s="756"/>
      <c r="AR155" s="779"/>
    </row>
    <row r="156" spans="1:80" ht="16.350000000000001" customHeight="1">
      <c r="W156" s="755" t="str">
        <f>'Translate&amp;Prices&amp;Logo'!$O$545</f>
        <v>Szprosy</v>
      </c>
      <c r="X156" s="755"/>
      <c r="Y156" s="755"/>
      <c r="Z156" s="755"/>
      <c r="AA156" s="755"/>
      <c r="AB156" s="239"/>
      <c r="AC156" s="756" t="str">
        <f>IFERROR(VLOOKUP(Ram_5!$AU$10,AU156:AV159,2,0),0)</f>
        <v>Nie</v>
      </c>
      <c r="AD156" s="756"/>
      <c r="AE156" s="756"/>
      <c r="AF156" s="756"/>
      <c r="AG156" s="756"/>
      <c r="AH156" s="756"/>
      <c r="AI156" s="756"/>
      <c r="AJ156" s="756"/>
      <c r="AK156" s="756"/>
      <c r="AL156" s="756"/>
      <c r="AM156" s="756"/>
      <c r="AN156" s="756"/>
      <c r="AO156" s="756"/>
      <c r="AR156" s="779"/>
      <c r="AU156">
        <v>0</v>
      </c>
      <c r="AV156" t="str">
        <f>'Translate&amp;Prices&amp;Logo'!$O$559</f>
        <v>Nie</v>
      </c>
      <c r="AZ156">
        <v>2</v>
      </c>
      <c r="BA156" t="str">
        <f>'Translate&amp;Prices&amp;Logo'!$O$553</f>
        <v>Zawiasy</v>
      </c>
      <c r="BX156" s="1">
        <v>1</v>
      </c>
      <c r="BY156" s="1" t="str">
        <f>'Translate&amp;Prices&amp;Logo'!$O$102</f>
        <v>Bez modyfikacji</v>
      </c>
      <c r="CA156"/>
      <c r="CB156"/>
    </row>
    <row r="157" spans="1:80" ht="16.350000000000001" customHeight="1">
      <c r="W157" s="126"/>
      <c r="X157" s="126"/>
      <c r="Y157" s="126"/>
      <c r="Z157" s="126"/>
      <c r="AA157" s="126"/>
      <c r="AB157" s="239"/>
      <c r="AC157" s="777" t="str">
        <f>'Translate&amp;Prices&amp;Logo'!$O$560</f>
        <v>Poziomo (termin dostawy 4 tygodnie)</v>
      </c>
      <c r="AD157" s="777"/>
      <c r="AE157" s="777"/>
      <c r="AF157" s="777"/>
      <c r="AG157" s="777"/>
      <c r="AH157" s="777"/>
      <c r="AI157" s="777"/>
      <c r="AJ157" s="777" t="str">
        <f>'Translate&amp;Prices&amp;Logo'!$O$561</f>
        <v>Pionowo (termin dostawy 4 tygodnie)</v>
      </c>
      <c r="AK157" s="777"/>
      <c r="AL157" s="777"/>
      <c r="AM157" s="777"/>
      <c r="AN157" s="777"/>
      <c r="AO157" s="777"/>
      <c r="AR157" s="779"/>
      <c r="AU157">
        <v>1</v>
      </c>
      <c r="AV157" t="str">
        <f>'Translate&amp;Prices&amp;Logo'!$O$560</f>
        <v>Poziomo (termin dostawy 4 tygodnie)</v>
      </c>
      <c r="AZ157">
        <v>3</v>
      </c>
      <c r="BA157" t="str">
        <f>'Translate&amp;Prices&amp;Logo'!$O$554</f>
        <v>Podnośniki</v>
      </c>
      <c r="BX157" s="1">
        <v>2</v>
      </c>
      <c r="BY157" s="1" t="str">
        <f>'Translate&amp;Prices&amp;Logo'!$O$103</f>
        <v>Hartowane</v>
      </c>
      <c r="CA157"/>
      <c r="CB157"/>
    </row>
    <row r="158" spans="1:80" ht="16.350000000000001" customHeight="1">
      <c r="W158" s="755" t="str">
        <f>('Translate&amp;Prices&amp;Logo'!$O$545)&amp;" "&amp;"("&amp;'Translate&amp;Prices&amp;Logo'!$O$176&amp;")"</f>
        <v>Szprosy (Ilość sztuk)</v>
      </c>
      <c r="X158" s="755"/>
      <c r="Y158" s="755"/>
      <c r="Z158" s="755"/>
      <c r="AA158" s="755"/>
      <c r="AB158" s="481"/>
      <c r="AC158" s="756">
        <f>Ram_5!$H$11</f>
        <v>0</v>
      </c>
      <c r="AD158" s="756"/>
      <c r="AE158" s="756"/>
      <c r="AF158" s="756"/>
      <c r="AG158" s="756"/>
      <c r="AH158" s="756"/>
      <c r="AI158" s="756"/>
      <c r="AJ158" s="756">
        <f>Ram_5!$M$11</f>
        <v>0</v>
      </c>
      <c r="AK158" s="756"/>
      <c r="AL158" s="756"/>
      <c r="AM158" s="756"/>
      <c r="AN158" s="756"/>
      <c r="AO158" s="756"/>
      <c r="AR158" s="779"/>
      <c r="AU158">
        <v>2</v>
      </c>
      <c r="AV158" t="str">
        <f>'Translate&amp;Prices&amp;Logo'!$O$561</f>
        <v>Pionowo (termin dostawy 4 tygodnie)</v>
      </c>
      <c r="BX158" s="1">
        <v>3</v>
      </c>
      <c r="BY158" s="1" t="str">
        <f>'Translate&amp;Prices&amp;Logo'!$O$104</f>
        <v>Folia</v>
      </c>
      <c r="CA158"/>
      <c r="CB158"/>
    </row>
    <row r="159" spans="1:80" ht="16.350000000000001" customHeight="1">
      <c r="W159" s="755" t="str">
        <f>'Translate&amp;Prices&amp;Logo'!$O$260</f>
        <v>Typ okucia</v>
      </c>
      <c r="X159" s="755"/>
      <c r="Y159" s="755"/>
      <c r="Z159" s="755"/>
      <c r="AA159" s="755"/>
      <c r="AB159" s="239"/>
      <c r="AC159" s="756">
        <f>IFERROR(VLOOKUP(Ram_5!$AU$9,AZ156:BA157,2,0),0)</f>
        <v>0</v>
      </c>
      <c r="AD159" s="756"/>
      <c r="AE159" s="756"/>
      <c r="AF159" s="756"/>
      <c r="AG159" s="756"/>
      <c r="AH159" s="756"/>
      <c r="AI159" s="756"/>
      <c r="AJ159" s="756"/>
      <c r="AK159" s="756"/>
      <c r="AL159" s="756"/>
      <c r="AM159" s="756"/>
      <c r="AN159" s="756"/>
      <c r="AO159" s="756"/>
      <c r="AR159" s="779"/>
      <c r="AU159">
        <v>3</v>
      </c>
      <c r="AV159" t="str">
        <f>'Translate&amp;Prices&amp;Logo'!$O$562</f>
        <v>Poziomo i pionowo (termin dostawy 4 tygodnie)</v>
      </c>
      <c r="CA159"/>
      <c r="CB159"/>
    </row>
    <row r="160" spans="1:80" ht="16.350000000000001" customHeight="1">
      <c r="W160" s="755" t="str">
        <f>'Translate&amp;Prices&amp;Logo'!$O$546</f>
        <v>Marka okucia</v>
      </c>
      <c r="X160" s="755"/>
      <c r="Y160" s="755"/>
      <c r="Z160" s="755"/>
      <c r="AA160" s="755"/>
      <c r="AB160" s="239"/>
      <c r="AC160" s="756">
        <f>Ram_5!$H$13</f>
        <v>0</v>
      </c>
      <c r="AD160" s="756"/>
      <c r="AE160" s="756"/>
      <c r="AF160" s="756"/>
      <c r="AG160" s="756"/>
      <c r="AH160" s="756"/>
      <c r="AI160" s="756"/>
      <c r="AJ160" s="756"/>
      <c r="AK160" s="756"/>
      <c r="AL160" s="756"/>
      <c r="AM160" s="756"/>
      <c r="AN160" s="756"/>
      <c r="AO160" s="756"/>
      <c r="AR160" s="779"/>
      <c r="CA160"/>
      <c r="CB160"/>
    </row>
    <row r="161" spans="19:80" ht="16.350000000000001" customHeight="1" thickBot="1">
      <c r="W161" s="755" t="str">
        <f>'Translate&amp;Prices&amp;Logo'!$O$548</f>
        <v>Nałożenie</v>
      </c>
      <c r="X161" s="755"/>
      <c r="Y161" s="755"/>
      <c r="Z161" s="755"/>
      <c r="AA161" s="755"/>
      <c r="AB161" s="239"/>
      <c r="AC161" s="756">
        <f>IFERROR(VLOOKUP(Ram_5!$H$14,$BD$12:$BE$29,2,0),0)</f>
        <v>0</v>
      </c>
      <c r="AD161" s="756"/>
      <c r="AE161" s="756"/>
      <c r="AF161" s="756"/>
      <c r="AG161" s="756"/>
      <c r="AH161" s="756"/>
      <c r="AI161" s="756"/>
      <c r="AJ161" s="756"/>
      <c r="AK161" s="756"/>
      <c r="AL161" s="756"/>
      <c r="AM161" s="756"/>
      <c r="AN161" s="756"/>
      <c r="AO161" s="756"/>
      <c r="AR161" s="779"/>
      <c r="CA161"/>
      <c r="CB161"/>
    </row>
    <row r="162" spans="19:80" ht="16.350000000000001" customHeight="1">
      <c r="S162" s="751">
        <f>Ram_5!AR14</f>
        <v>0</v>
      </c>
      <c r="W162" s="755" t="str">
        <f>'Translate&amp;Prices&amp;Logo'!$O$547</f>
        <v>Wariant okucia</v>
      </c>
      <c r="X162" s="755"/>
      <c r="Y162" s="755"/>
      <c r="Z162" s="755"/>
      <c r="AA162" s="755"/>
      <c r="AB162" s="239"/>
      <c r="AC162" s="758">
        <f>IFERROR(VLOOKUP(Ram_5!$H$15,kombinace_1!$ED$2:$EE$758,2,0),Ram_5!$H$15)</f>
        <v>0</v>
      </c>
      <c r="AD162" s="758"/>
      <c r="AE162" s="758"/>
      <c r="AF162" s="758"/>
      <c r="AG162" s="758"/>
      <c r="AH162" s="758"/>
      <c r="AI162" s="758"/>
      <c r="AJ162" s="758" t="str">
        <f>IF(AC162='Translate&amp;Prices&amp;Logo'!C700,VLOOKUP(Ram_5!H17,'Translate&amp;Prices&amp;Logo'!C701:D748,2,0),"")</f>
        <v/>
      </c>
      <c r="AK162" s="758"/>
      <c r="AL162" s="758"/>
      <c r="AM162" s="758"/>
      <c r="AN162" s="758"/>
      <c r="AO162" s="758"/>
      <c r="AR162" s="779"/>
      <c r="CA162"/>
      <c r="CB162"/>
    </row>
    <row r="163" spans="19:80" ht="16.350000000000001" customHeight="1">
      <c r="S163" s="752">
        <f>Ram_1!AR159</f>
        <v>0</v>
      </c>
      <c r="W163" s="755" t="str">
        <f>'Translate&amp;Prices&amp;Logo'!$O$220</f>
        <v>Wybierz pozycję ramki</v>
      </c>
      <c r="X163" s="755"/>
      <c r="Y163" s="755"/>
      <c r="Z163" s="755"/>
      <c r="AA163" s="755"/>
      <c r="AB163" s="756">
        <f>IFERROR(VLOOKUP(Ram_5!$F$16,BI12:BJ23,2,0),0)</f>
        <v>0</v>
      </c>
      <c r="AC163" s="756"/>
      <c r="AD163" s="756"/>
      <c r="AE163" s="756"/>
      <c r="AF163" s="756"/>
      <c r="AG163" s="760" t="str">
        <f>'Translate&amp;Prices&amp;Logo'!$O$234</f>
        <v>Rodzaj drugiej ramki</v>
      </c>
      <c r="AH163" s="760"/>
      <c r="AI163" s="760"/>
      <c r="AJ163" s="756">
        <f>IFERROR(VLOOKUP(Ram_5!$N$16,BM12:BN41,2,0),0)</f>
        <v>0</v>
      </c>
      <c r="AK163" s="756"/>
      <c r="AL163" s="756"/>
      <c r="AM163" s="756"/>
      <c r="AN163" s="756"/>
      <c r="AO163" s="756"/>
      <c r="AR163" s="779"/>
      <c r="CA163"/>
      <c r="CB163"/>
    </row>
    <row r="164" spans="19:80" ht="16.350000000000001" customHeight="1">
      <c r="S164" s="752">
        <f>Ram_1!AR160</f>
        <v>0</v>
      </c>
      <c r="W164" s="755" t="str">
        <f>IF(AC159='Translate&amp;Prices&amp;Logo'!O553,'Translate&amp;Prices&amp;Logo'!O240,'Translate&amp;Prices&amp;Logo'!$O$228)</f>
        <v>Umieszczenie</v>
      </c>
      <c r="X164" s="755"/>
      <c r="Y164" s="755"/>
      <c r="Z164" s="755"/>
      <c r="AA164" s="755"/>
      <c r="AB164" s="239"/>
      <c r="AC164" s="756" t="str">
        <f>IFERROR((IF(Ram_5!H12='Translate&amp;Prices&amp;Logo'!B554,VLOOKUP(Ram_5!$N$16,BM42:BN71,2,0),VLOOKUP(Ram_5!$H$17,BM42:BN65,2,0))),"")</f>
        <v/>
      </c>
      <c r="AD164" s="756"/>
      <c r="AE164" s="756"/>
      <c r="AF164" s="756"/>
      <c r="AG164" s="756"/>
      <c r="AH164" s="756"/>
      <c r="AI164" s="756"/>
      <c r="AJ164" s="756"/>
      <c r="AK164" s="756"/>
      <c r="AL164" s="756"/>
      <c r="AM164" s="756"/>
      <c r="AN164" s="756"/>
      <c r="AO164" s="756"/>
      <c r="AR164" s="779"/>
      <c r="CA164"/>
      <c r="CB164"/>
    </row>
    <row r="165" spans="19:80" ht="16.350000000000001" customHeight="1">
      <c r="S165" s="752">
        <f>Ram_1!AR161</f>
        <v>0</v>
      </c>
      <c r="W165" s="757" t="str">
        <f>IF(Ram_5!AU9=3,'Translate&amp;Prices&amp;Logo'!$O$549,"")</f>
        <v/>
      </c>
      <c r="X165" s="757"/>
      <c r="Y165" s="757"/>
      <c r="Z165" s="757"/>
      <c r="AA165" s="757"/>
      <c r="AB165" s="239"/>
      <c r="AC165" s="756">
        <f>IFERROR((VLOOKUP(Ram_5!$H$18,$CK$2:$CL$90,2,0)),Ram_5!$H$18)</f>
        <v>0</v>
      </c>
      <c r="AD165" s="756"/>
      <c r="AE165" s="756"/>
      <c r="AF165" s="756"/>
      <c r="AG165" s="756"/>
      <c r="AH165" s="756"/>
      <c r="AI165" s="756"/>
      <c r="AJ165" s="756"/>
      <c r="AK165" s="756"/>
      <c r="AL165" s="756"/>
      <c r="AM165" s="756"/>
      <c r="AN165" s="756"/>
      <c r="AO165" s="756"/>
      <c r="AR165" s="779"/>
      <c r="CA165"/>
      <c r="CB165"/>
    </row>
    <row r="166" spans="19:80" ht="16.350000000000001" customHeight="1">
      <c r="S166" s="752">
        <f>Ram_1!AR162</f>
        <v>0</v>
      </c>
      <c r="W166" s="755" t="str">
        <f>'Translate&amp;Prices&amp;Logo'!$O$225</f>
        <v>Ilość zawiasów na 1 ramkę</v>
      </c>
      <c r="X166" s="755"/>
      <c r="Y166" s="755"/>
      <c r="Z166" s="755"/>
      <c r="AA166" s="755"/>
      <c r="AB166" s="481"/>
      <c r="AC166" s="756">
        <f>Ram_5!$H$19</f>
        <v>0</v>
      </c>
      <c r="AD166" s="756"/>
      <c r="AE166" s="756"/>
      <c r="AF166" s="756"/>
      <c r="AG166" s="756"/>
      <c r="AH166" s="756"/>
      <c r="AI166" s="756"/>
      <c r="AJ166" s="756"/>
      <c r="AK166" s="756"/>
      <c r="AL166" s="756"/>
      <c r="AM166" s="756"/>
      <c r="AN166" s="756"/>
      <c r="AO166" s="756"/>
      <c r="AR166" s="779"/>
      <c r="CA166"/>
      <c r="CB166"/>
    </row>
    <row r="167" spans="19:80" ht="16.350000000000001" customHeight="1">
      <c r="S167" s="749" t="str">
        <f>'Translate&amp;Prices&amp;Logo'!$O$178</f>
        <v>Wysokość</v>
      </c>
      <c r="W167" s="755" t="str">
        <f>IFERROR(VLOOKUP(Ram_5!H17,kombinace_5!BY32:CD35,5,0),"")</f>
        <v/>
      </c>
      <c r="X167" s="755"/>
      <c r="Y167" s="755"/>
      <c r="Z167" s="755"/>
      <c r="AA167" s="755"/>
      <c r="AB167" s="756">
        <f>Ram_5!$F$20</f>
        <v>100</v>
      </c>
      <c r="AC167" s="756"/>
      <c r="AD167" s="756"/>
      <c r="AE167" s="756"/>
      <c r="AF167" s="756"/>
      <c r="AG167" s="755" t="str">
        <f>IFERROR(VLOOKUP(Ram_5!H17,kombinace_5!$BY$32:$CD$35,6,0),"")</f>
        <v/>
      </c>
      <c r="AH167" s="755"/>
      <c r="AI167" s="755"/>
      <c r="AJ167" s="755"/>
      <c r="AK167" s="755"/>
      <c r="AL167" s="756">
        <f>Ram_5!$N$20</f>
        <v>100</v>
      </c>
      <c r="AM167" s="756"/>
      <c r="AN167" s="756"/>
      <c r="AO167" s="756"/>
      <c r="AR167" s="779"/>
      <c r="CA167"/>
      <c r="CB167"/>
    </row>
    <row r="168" spans="19:80" ht="16.350000000000001" customHeight="1">
      <c r="S168" s="749">
        <f>Ram_1!AR164</f>
        <v>0</v>
      </c>
      <c r="W168" s="243" t="str">
        <f>'Translate&amp;Prices&amp;Logo'!$O$655</f>
        <v>Wypełnienie z siatki</v>
      </c>
      <c r="X168" s="126"/>
      <c r="Y168" s="126"/>
      <c r="Z168" s="126"/>
      <c r="AA168" s="126"/>
      <c r="AB168" s="239"/>
      <c r="AC168" s="759" t="str">
        <f>IF(kombinace_5!FC2=TRUE,"Tak","Nie")</f>
        <v>Nie</v>
      </c>
      <c r="AD168" s="759"/>
      <c r="AE168" s="759"/>
      <c r="AF168" s="759"/>
      <c r="AG168" s="759"/>
      <c r="AH168" s="759"/>
      <c r="AI168" s="759"/>
      <c r="AJ168" s="759"/>
      <c r="AK168" s="759"/>
      <c r="AL168" s="759"/>
      <c r="AM168" s="759"/>
      <c r="AN168" s="759"/>
      <c r="AO168" s="759"/>
      <c r="AR168" s="779"/>
      <c r="CA168"/>
      <c r="CB168"/>
    </row>
    <row r="169" spans="19:80" ht="16.350000000000001" customHeight="1">
      <c r="S169" s="749">
        <f>Ram_1!AR165</f>
        <v>0</v>
      </c>
      <c r="W169" s="755" t="str">
        <f>'Translate&amp;Prices&amp;Logo'!$O$175</f>
        <v>Rodzaj szkła</v>
      </c>
      <c r="X169" s="755"/>
      <c r="Y169" s="755"/>
      <c r="Z169" s="755"/>
      <c r="AA169" s="755"/>
      <c r="AB169" s="239"/>
      <c r="AC169" s="756" t="str">
        <f>IFERROR(VLOOKUP(kombinace_5!$V$1,BX156:BY158,2,0),0)</f>
        <v>Bez modyfikacji</v>
      </c>
      <c r="AD169" s="756"/>
      <c r="AE169" s="756"/>
      <c r="AF169" s="756"/>
      <c r="AG169" s="756"/>
      <c r="AH169" s="756"/>
      <c r="AI169" s="756"/>
      <c r="AJ169" s="756"/>
      <c r="AK169" s="756"/>
      <c r="AL169" s="756"/>
      <c r="AM169" s="756"/>
      <c r="AN169" s="756"/>
      <c r="AO169" s="756"/>
      <c r="AR169" s="779"/>
      <c r="CA169"/>
      <c r="CB169"/>
    </row>
    <row r="170" spans="19:80" ht="16.350000000000001" customHeight="1">
      <c r="S170" s="749">
        <f>Ram_1!AR166</f>
        <v>0</v>
      </c>
      <c r="W170" s="755" t="str">
        <f>'Translate&amp;Prices&amp;Logo'!$O$564</f>
        <v>Rodzaj folii</v>
      </c>
      <c r="X170" s="755"/>
      <c r="Y170" s="755"/>
      <c r="Z170" s="755"/>
      <c r="AA170" s="755"/>
      <c r="AB170" s="239"/>
      <c r="AC170" s="756">
        <f>IFERROR(VLOOKUP(Ram_5!$H$24,CA12:CB29,2,0),0)</f>
        <v>0</v>
      </c>
      <c r="AD170" s="756"/>
      <c r="AE170" s="756"/>
      <c r="AF170" s="756"/>
      <c r="AG170" s="756"/>
      <c r="AH170" s="756"/>
      <c r="AI170" s="756"/>
      <c r="AJ170" s="756"/>
      <c r="AK170" s="756"/>
      <c r="AL170" s="756"/>
      <c r="AM170" s="756"/>
      <c r="AN170" s="756"/>
      <c r="AO170" s="756"/>
      <c r="AR170" s="779"/>
      <c r="CA170"/>
      <c r="CB170"/>
    </row>
    <row r="171" spans="19:80" ht="16.350000000000001" customHeight="1" thickBot="1">
      <c r="S171" s="750">
        <f>Ram_1!AR167</f>
        <v>0</v>
      </c>
      <c r="W171" s="755" t="str">
        <f>'Translate&amp;Prices&amp;Logo'!$O$175</f>
        <v>Rodzaj szkła</v>
      </c>
      <c r="X171" s="755"/>
      <c r="Y171" s="755"/>
      <c r="Z171" s="755"/>
      <c r="AA171" s="755"/>
      <c r="AB171" s="239"/>
      <c r="AC171" s="756">
        <f>IFERROR(VLOOKUP(Ram_5!$H$25,'Translate&amp;Prices&amp;Logo'!$AH$1:$AI$167,2,0),Ram_5!$H$25)</f>
        <v>0</v>
      </c>
      <c r="AD171" s="756"/>
      <c r="AE171" s="756"/>
      <c r="AF171" s="756"/>
      <c r="AG171" s="756"/>
      <c r="AH171" s="756"/>
      <c r="AI171" s="756"/>
      <c r="AJ171" s="756"/>
      <c r="AK171" s="756"/>
      <c r="AL171" s="756"/>
      <c r="AM171" s="756"/>
      <c r="AN171" s="756"/>
      <c r="AO171" s="756"/>
      <c r="AR171" s="779"/>
    </row>
    <row r="172" spans="19:80" ht="16.350000000000001" customHeight="1">
      <c r="W172" s="755" t="str">
        <f>'Translate&amp;Prices&amp;Logo'!$O$551</f>
        <v>Rozstaw uchwytu (mm)</v>
      </c>
      <c r="X172" s="755"/>
      <c r="Y172" s="755"/>
      <c r="Z172" s="755"/>
      <c r="AA172" s="755"/>
      <c r="AB172" s="239"/>
      <c r="AC172" s="756">
        <f>Ram_5!$H$26</f>
        <v>0</v>
      </c>
      <c r="AD172" s="756"/>
      <c r="AE172" s="756"/>
      <c r="AF172" s="756"/>
      <c r="AG172" s="756"/>
      <c r="AH172" s="756"/>
      <c r="AI172" s="756"/>
      <c r="AJ172" s="756"/>
      <c r="AK172" s="756"/>
      <c r="AL172" s="756"/>
      <c r="AM172" s="756"/>
      <c r="AN172" s="756"/>
      <c r="AO172" s="756"/>
      <c r="AR172" s="779"/>
    </row>
    <row r="173" spans="19:80" ht="16.350000000000001" customHeight="1">
      <c r="W173" s="755" t="str">
        <f>'Translate&amp;Prices&amp;Logo'!$O$552</f>
        <v>Umieszczenie uchwytu</v>
      </c>
      <c r="X173" s="755"/>
      <c r="Y173" s="755"/>
      <c r="Z173" s="755"/>
      <c r="AA173" s="755"/>
      <c r="AB173" s="239"/>
      <c r="AC173" s="756">
        <f>IFERROR(VLOOKUP(Ram_5!$H$27,BM42:BN65,2,0),0)</f>
        <v>0</v>
      </c>
      <c r="AD173" s="756"/>
      <c r="AE173" s="756"/>
      <c r="AF173" s="756"/>
      <c r="AG173" s="756"/>
      <c r="AH173" s="756"/>
      <c r="AI173" s="756"/>
      <c r="AJ173" s="756"/>
      <c r="AK173" s="756"/>
      <c r="AL173" s="756"/>
      <c r="AM173" s="756"/>
      <c r="AN173" s="756"/>
      <c r="AO173" s="756"/>
      <c r="AR173" s="779"/>
    </row>
    <row r="174" spans="19:80" ht="16.350000000000001" customHeight="1">
      <c r="W174" s="755" t="str">
        <f>('Translate&amp;Prices&amp;Logo'!$O$176)&amp;" "&amp;"-"&amp;" "&amp;('Translate&amp;Prices&amp;Logo'!$O$171)&amp;" "&amp;" "&amp;5</f>
        <v>Ilość sztuk - Ramka  5</v>
      </c>
      <c r="X174" s="755"/>
      <c r="Y174" s="755"/>
      <c r="Z174" s="755"/>
      <c r="AA174" s="755"/>
      <c r="AB174" s="239"/>
      <c r="AC174" s="756">
        <f>Ram_5!$H$28</f>
        <v>0</v>
      </c>
      <c r="AD174" s="756"/>
      <c r="AE174" s="756"/>
      <c r="AF174" s="756"/>
      <c r="AG174" s="756"/>
      <c r="AH174" s="756"/>
      <c r="AI174" s="756"/>
      <c r="AJ174" s="756"/>
      <c r="AK174" s="756"/>
      <c r="AL174" s="756"/>
      <c r="AM174" s="756"/>
      <c r="AN174" s="756"/>
      <c r="AO174" s="756"/>
      <c r="AR174" s="779"/>
    </row>
    <row r="175" spans="19:80" ht="16.350000000000001" customHeight="1">
      <c r="AE175" s="1"/>
      <c r="AF175" s="1"/>
      <c r="AR175" s="779"/>
    </row>
    <row r="176" spans="19:80" ht="14.85" customHeight="1">
      <c r="AR176" s="779"/>
    </row>
    <row r="177" spans="1:80" ht="14.85" customHeight="1">
      <c r="W177" s="767" t="s">
        <v>1604</v>
      </c>
      <c r="X177" s="767"/>
      <c r="Y177" s="767"/>
      <c r="Z177" s="767"/>
      <c r="AE177" s="767" t="s">
        <v>1605</v>
      </c>
      <c r="AF177" s="767"/>
      <c r="AG177" s="767"/>
      <c r="AH177" s="767"/>
      <c r="AR177" s="779"/>
    </row>
    <row r="178" spans="1:80" ht="14.85" customHeight="1">
      <c r="AE178" s="768"/>
      <c r="AF178" s="769"/>
      <c r="AG178" s="769"/>
      <c r="AH178" s="769"/>
      <c r="AI178" s="769"/>
      <c r="AJ178" s="769"/>
      <c r="AK178" s="769"/>
      <c r="AL178" s="769"/>
      <c r="AM178" s="769"/>
      <c r="AN178" s="770"/>
      <c r="AR178" s="779"/>
    </row>
    <row r="179" spans="1:80" ht="14.85" customHeight="1">
      <c r="AE179" s="771"/>
      <c r="AF179" s="772"/>
      <c r="AG179" s="772"/>
      <c r="AH179" s="772"/>
      <c r="AI179" s="772"/>
      <c r="AJ179" s="772"/>
      <c r="AK179" s="772"/>
      <c r="AL179" s="772"/>
      <c r="AM179" s="772"/>
      <c r="AN179" s="773"/>
      <c r="AR179" s="779"/>
    </row>
    <row r="180" spans="1:80" ht="14.85" customHeight="1">
      <c r="AE180" s="771"/>
      <c r="AF180" s="772"/>
      <c r="AG180" s="772"/>
      <c r="AH180" s="772"/>
      <c r="AI180" s="772"/>
      <c r="AJ180" s="772"/>
      <c r="AK180" s="772"/>
      <c r="AL180" s="772"/>
      <c r="AM180" s="772"/>
      <c r="AN180" s="773"/>
      <c r="AR180" s="779"/>
    </row>
    <row r="181" spans="1:80" ht="14.85" customHeight="1">
      <c r="D181" s="766">
        <f>IF(OR(Ram_5!$AC$25="x",Ram_5!$AJ$26="x",Ram_5!$AC$9="x",Ram_5!$AJ$7="x",Ram_5!$AB$16="x",Ram_5!$AM$23="x",Ram_5!$AN$19="x",Ram_5!$AD$10="x"),'Translate&amp;Prices&amp;Logo'!$B$590,0)</f>
        <v>0</v>
      </c>
      <c r="E181" s="766"/>
      <c r="F181" s="766"/>
      <c r="G181" s="766"/>
      <c r="H181" s="766"/>
      <c r="I181" s="766"/>
      <c r="J181" s="766"/>
      <c r="K181" s="766"/>
      <c r="L181" s="766"/>
      <c r="M181" s="766"/>
      <c r="N181" s="766"/>
      <c r="O181" s="766"/>
      <c r="P181" s="766"/>
      <c r="AE181" s="771"/>
      <c r="AF181" s="772"/>
      <c r="AG181" s="772"/>
      <c r="AH181" s="772"/>
      <c r="AI181" s="772"/>
      <c r="AJ181" s="772"/>
      <c r="AK181" s="772"/>
      <c r="AL181" s="772"/>
      <c r="AM181" s="772"/>
      <c r="AN181" s="773"/>
      <c r="AR181" s="779"/>
    </row>
    <row r="182" spans="1:80" ht="14.85" customHeight="1">
      <c r="AE182" s="771"/>
      <c r="AF182" s="772"/>
      <c r="AG182" s="772"/>
      <c r="AH182" s="772"/>
      <c r="AI182" s="772"/>
      <c r="AJ182" s="772"/>
      <c r="AK182" s="772"/>
      <c r="AL182" s="772"/>
      <c r="AM182" s="772"/>
      <c r="AN182" s="773"/>
      <c r="AR182" s="779"/>
    </row>
    <row r="183" spans="1:80" ht="14.85" customHeight="1" thickBot="1">
      <c r="AE183" s="771"/>
      <c r="AF183" s="772"/>
      <c r="AG183" s="772"/>
      <c r="AH183" s="772"/>
      <c r="AI183" s="772"/>
      <c r="AJ183" s="772"/>
      <c r="AK183" s="772"/>
      <c r="AL183" s="772"/>
      <c r="AM183" s="772"/>
      <c r="AN183" s="773"/>
      <c r="AR183" s="779"/>
    </row>
    <row r="184" spans="1:80" ht="14.85" customHeight="1" thickBot="1">
      <c r="G184" s="745" t="str">
        <f>'Translate&amp;Prices&amp;Logo'!$O$177</f>
        <v>Szerokość</v>
      </c>
      <c r="H184" s="746">
        <f>Ram_1!AG174</f>
        <v>0</v>
      </c>
      <c r="I184" s="746">
        <f>Ram_1!AH174</f>
        <v>0</v>
      </c>
      <c r="J184" s="747">
        <f>Ram_5!AI30</f>
        <v>0</v>
      </c>
      <c r="K184" s="747">
        <f>Ram_1!AJ174</f>
        <v>0</v>
      </c>
      <c r="L184" s="748">
        <f>Ram_1!AK174</f>
        <v>0</v>
      </c>
      <c r="AE184" s="771"/>
      <c r="AF184" s="772"/>
      <c r="AG184" s="772"/>
      <c r="AH184" s="772"/>
      <c r="AI184" s="772"/>
      <c r="AJ184" s="772"/>
      <c r="AK184" s="772"/>
      <c r="AL184" s="772"/>
      <c r="AM184" s="772"/>
      <c r="AN184" s="773"/>
      <c r="AR184" s="779"/>
    </row>
    <row r="185" spans="1:80" ht="21" customHeight="1">
      <c r="AE185" s="774"/>
      <c r="AF185" s="775"/>
      <c r="AG185" s="775"/>
      <c r="AH185" s="775"/>
      <c r="AI185" s="775"/>
      <c r="AJ185" s="775"/>
      <c r="AK185" s="775"/>
      <c r="AL185" s="775"/>
      <c r="AM185" s="775"/>
      <c r="AN185" s="776"/>
      <c r="AR185" s="779"/>
    </row>
    <row r="186" spans="1:80" ht="14.85" customHeight="1">
      <c r="AR186" s="779"/>
    </row>
    <row r="187" spans="1:80" ht="14.85" customHeight="1">
      <c r="AR187" s="779"/>
    </row>
    <row r="188" spans="1:80" ht="14.85" customHeight="1" thickBo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24"/>
      <c r="AF188" s="125"/>
      <c r="AG188" s="18"/>
      <c r="AH188" s="18"/>
      <c r="AI188" s="18"/>
      <c r="AJ188" s="18"/>
      <c r="AK188" s="18"/>
      <c r="AL188" s="18"/>
      <c r="AM188" s="18"/>
      <c r="AN188" s="18"/>
      <c r="AO188" s="18"/>
      <c r="AP188" s="18"/>
      <c r="AQ188" s="18"/>
      <c r="AR188" s="18"/>
    </row>
    <row r="189" spans="1:80" ht="35.1" customHeight="1" thickBot="1">
      <c r="J189" s="121"/>
      <c r="K189" s="121"/>
      <c r="L189" s="121"/>
      <c r="M189" s="121"/>
      <c r="N189" s="121"/>
      <c r="O189" s="121"/>
      <c r="P189" s="121"/>
      <c r="Q189" s="121"/>
      <c r="R189" s="121"/>
      <c r="S189" s="121"/>
      <c r="T189" s="121"/>
      <c r="U189" s="121"/>
      <c r="V189" s="121"/>
      <c r="W189" s="765" t="str">
        <f>'Translate&amp;Prices&amp;Logo'!$O$258</f>
        <v>Numer zamówienia</v>
      </c>
      <c r="X189" s="765"/>
      <c r="Y189" s="765"/>
      <c r="Z189" s="765"/>
      <c r="AA189" s="765"/>
      <c r="AB189" s="239"/>
      <c r="AC189" s="762">
        <f>Ram_6!AS5</f>
        <v>0</v>
      </c>
      <c r="AD189" s="763"/>
      <c r="AE189" s="763"/>
      <c r="AF189" s="763"/>
      <c r="AG189" s="763"/>
      <c r="AH189" s="763"/>
      <c r="AI189" s="763"/>
      <c r="AJ189" s="763"/>
      <c r="AK189" s="763"/>
      <c r="AL189" s="763"/>
      <c r="AM189" s="763"/>
      <c r="AN189" s="763"/>
      <c r="AO189" s="764"/>
      <c r="AR189" s="779" t="s">
        <v>1611</v>
      </c>
    </row>
    <row r="190" spans="1:80" ht="16.350000000000001" customHeight="1">
      <c r="W190" s="755" t="str">
        <f>'Translate&amp;Prices&amp;Logo'!$O$544</f>
        <v>Połączenie 2 profili</v>
      </c>
      <c r="X190" s="755"/>
      <c r="Y190" s="755"/>
      <c r="Z190" s="755"/>
      <c r="AA190" s="755"/>
      <c r="AB190" s="239"/>
      <c r="AC190" s="780" t="str">
        <f>IF(kombinace_6!$H$1=TRUE,"Tak","Nie")</f>
        <v>Nie</v>
      </c>
      <c r="AD190" s="780"/>
      <c r="AE190" s="780"/>
      <c r="AF190" s="780"/>
      <c r="AG190" s="780"/>
      <c r="AH190" s="780"/>
      <c r="AI190" s="780"/>
      <c r="AJ190" s="780"/>
      <c r="AK190" s="780"/>
      <c r="AL190" s="780"/>
      <c r="AM190" s="780"/>
      <c r="AN190" s="780"/>
      <c r="AO190" s="780"/>
      <c r="AR190" s="779"/>
    </row>
    <row r="191" spans="1:80" ht="16.350000000000001" customHeight="1">
      <c r="W191" s="755" t="str">
        <f>'Translate&amp;Prices&amp;Logo'!$O$174</f>
        <v>Rodzaj profilu</v>
      </c>
      <c r="X191" s="755"/>
      <c r="Y191" s="755"/>
      <c r="Z191" s="755"/>
      <c r="AA191" s="755"/>
      <c r="AB191" s="239"/>
      <c r="AC191" s="756">
        <f>IFERROR(VLOOKUP(Ram_6!$H$8,'Translate&amp;Prices&amp;Logo'!$AA$1:$AB$456,2,0),Ram_6!$H$8)</f>
        <v>0</v>
      </c>
      <c r="AD191" s="756"/>
      <c r="AE191" s="756"/>
      <c r="AF191" s="756"/>
      <c r="AG191" s="756"/>
      <c r="AH191" s="756"/>
      <c r="AI191" s="756"/>
      <c r="AJ191" s="756"/>
      <c r="AK191" s="756"/>
      <c r="AL191" s="756"/>
      <c r="AM191" s="756"/>
      <c r="AN191" s="756"/>
      <c r="AO191" s="756"/>
      <c r="AR191" s="779"/>
    </row>
    <row r="192" spans="1:80" ht="16.350000000000001" customHeight="1">
      <c r="W192" s="755" t="str">
        <f>'Translate&amp;Prices&amp;Logo'!$O$545</f>
        <v>Szprosy</v>
      </c>
      <c r="X192" s="755"/>
      <c r="Y192" s="755"/>
      <c r="Z192" s="755"/>
      <c r="AA192" s="755"/>
      <c r="AB192" s="239"/>
      <c r="AC192" s="756" t="str">
        <f>IFERROR(VLOOKUP(Ram_6!$AU$10,AU192:AV195,2,0),0)</f>
        <v>Nie</v>
      </c>
      <c r="AD192" s="756"/>
      <c r="AE192" s="756"/>
      <c r="AF192" s="756"/>
      <c r="AG192" s="756"/>
      <c r="AH192" s="756"/>
      <c r="AI192" s="756"/>
      <c r="AJ192" s="756"/>
      <c r="AK192" s="756"/>
      <c r="AL192" s="756"/>
      <c r="AM192" s="756"/>
      <c r="AN192" s="756"/>
      <c r="AO192" s="756"/>
      <c r="AR192" s="779"/>
      <c r="AU192">
        <v>0</v>
      </c>
      <c r="AV192" t="str">
        <f>'Translate&amp;Prices&amp;Logo'!$O$559</f>
        <v>Nie</v>
      </c>
      <c r="AZ192">
        <v>2</v>
      </c>
      <c r="BA192" t="str">
        <f>'Translate&amp;Prices&amp;Logo'!$O$553</f>
        <v>Zawiasy</v>
      </c>
      <c r="BX192" s="1">
        <v>1</v>
      </c>
      <c r="BY192" s="1" t="str">
        <f>'Translate&amp;Prices&amp;Logo'!$O$102</f>
        <v>Bez modyfikacji</v>
      </c>
      <c r="CA192"/>
      <c r="CB192"/>
    </row>
    <row r="193" spans="19:80" ht="16.350000000000001" customHeight="1">
      <c r="W193" s="126"/>
      <c r="X193" s="126"/>
      <c r="Y193" s="126"/>
      <c r="Z193" s="126"/>
      <c r="AA193" s="126"/>
      <c r="AB193" s="239"/>
      <c r="AC193" s="777" t="str">
        <f>'Translate&amp;Prices&amp;Logo'!$O$560</f>
        <v>Poziomo (termin dostawy 4 tygodnie)</v>
      </c>
      <c r="AD193" s="777"/>
      <c r="AE193" s="777"/>
      <c r="AF193" s="777"/>
      <c r="AG193" s="777"/>
      <c r="AH193" s="777"/>
      <c r="AI193" s="777"/>
      <c r="AJ193" s="777" t="str">
        <f>'Translate&amp;Prices&amp;Logo'!$O$561</f>
        <v>Pionowo (termin dostawy 4 tygodnie)</v>
      </c>
      <c r="AK193" s="777"/>
      <c r="AL193" s="777"/>
      <c r="AM193" s="777"/>
      <c r="AN193" s="777"/>
      <c r="AO193" s="777"/>
      <c r="AR193" s="779"/>
      <c r="AU193">
        <v>1</v>
      </c>
      <c r="AV193" t="str">
        <f>'Translate&amp;Prices&amp;Logo'!$O$560</f>
        <v>Poziomo (termin dostawy 4 tygodnie)</v>
      </c>
      <c r="AZ193">
        <v>3</v>
      </c>
      <c r="BA193" t="str">
        <f>'Translate&amp;Prices&amp;Logo'!$O$554</f>
        <v>Podnośniki</v>
      </c>
      <c r="BX193" s="1">
        <v>2</v>
      </c>
      <c r="BY193" s="1" t="str">
        <f>'Translate&amp;Prices&amp;Logo'!$O$103</f>
        <v>Hartowane</v>
      </c>
      <c r="CA193"/>
      <c r="CB193"/>
    </row>
    <row r="194" spans="19:80" ht="16.350000000000001" customHeight="1">
      <c r="W194" s="755" t="str">
        <f>('Translate&amp;Prices&amp;Logo'!$O$545)&amp;" "&amp;"("&amp;'Translate&amp;Prices&amp;Logo'!$O$176&amp;")"</f>
        <v>Szprosy (Ilość sztuk)</v>
      </c>
      <c r="X194" s="755"/>
      <c r="Y194" s="755"/>
      <c r="Z194" s="755"/>
      <c r="AA194" s="755"/>
      <c r="AB194" s="481"/>
      <c r="AC194" s="756">
        <f>Ram_6!$H$11</f>
        <v>0</v>
      </c>
      <c r="AD194" s="756"/>
      <c r="AE194" s="756"/>
      <c r="AF194" s="756"/>
      <c r="AG194" s="756"/>
      <c r="AH194" s="756"/>
      <c r="AI194" s="756"/>
      <c r="AJ194" s="756">
        <f>Ram_6!$M$11</f>
        <v>0</v>
      </c>
      <c r="AK194" s="756"/>
      <c r="AL194" s="756"/>
      <c r="AM194" s="756"/>
      <c r="AN194" s="756"/>
      <c r="AO194" s="756"/>
      <c r="AR194" s="779"/>
      <c r="AU194">
        <v>2</v>
      </c>
      <c r="AV194" t="str">
        <f>'Translate&amp;Prices&amp;Logo'!$O$561</f>
        <v>Pionowo (termin dostawy 4 tygodnie)</v>
      </c>
      <c r="BX194" s="1">
        <v>3</v>
      </c>
      <c r="BY194" s="1" t="str">
        <f>'Translate&amp;Prices&amp;Logo'!$O$104</f>
        <v>Folia</v>
      </c>
      <c r="CA194"/>
      <c r="CB194"/>
    </row>
    <row r="195" spans="19:80" ht="16.350000000000001" customHeight="1">
      <c r="W195" s="755" t="str">
        <f>'Translate&amp;Prices&amp;Logo'!$O$260</f>
        <v>Typ okucia</v>
      </c>
      <c r="X195" s="755"/>
      <c r="Y195" s="755"/>
      <c r="Z195" s="755"/>
      <c r="AA195" s="755"/>
      <c r="AB195" s="239"/>
      <c r="AC195" s="756">
        <f>IFERROR(VLOOKUP(Ram_6!$AU$9,AZ192:BA193,2,0),0)</f>
        <v>0</v>
      </c>
      <c r="AD195" s="756"/>
      <c r="AE195" s="756"/>
      <c r="AF195" s="756"/>
      <c r="AG195" s="756"/>
      <c r="AH195" s="756"/>
      <c r="AI195" s="756"/>
      <c r="AJ195" s="756"/>
      <c r="AK195" s="756"/>
      <c r="AL195" s="756"/>
      <c r="AM195" s="756"/>
      <c r="AN195" s="756"/>
      <c r="AO195" s="756"/>
      <c r="AR195" s="779"/>
      <c r="AU195">
        <v>3</v>
      </c>
      <c r="AV195" t="str">
        <f>'Translate&amp;Prices&amp;Logo'!$O$562</f>
        <v>Poziomo i pionowo (termin dostawy 4 tygodnie)</v>
      </c>
      <c r="CA195"/>
      <c r="CB195"/>
    </row>
    <row r="196" spans="19:80" ht="16.350000000000001" customHeight="1">
      <c r="W196" s="755" t="str">
        <f>'Translate&amp;Prices&amp;Logo'!$O$546</f>
        <v>Marka okucia</v>
      </c>
      <c r="X196" s="755"/>
      <c r="Y196" s="755"/>
      <c r="Z196" s="755"/>
      <c r="AA196" s="755"/>
      <c r="AB196" s="239"/>
      <c r="AC196" s="756">
        <f>Ram_6!$H$13</f>
        <v>0</v>
      </c>
      <c r="AD196" s="756"/>
      <c r="AE196" s="756"/>
      <c r="AF196" s="756"/>
      <c r="AG196" s="756"/>
      <c r="AH196" s="756"/>
      <c r="AI196" s="756"/>
      <c r="AJ196" s="756"/>
      <c r="AK196" s="756"/>
      <c r="AL196" s="756"/>
      <c r="AM196" s="756"/>
      <c r="AN196" s="756"/>
      <c r="AO196" s="756"/>
      <c r="AR196" s="779"/>
      <c r="CA196"/>
      <c r="CB196"/>
    </row>
    <row r="197" spans="19:80" ht="16.350000000000001" customHeight="1" thickBot="1">
      <c r="W197" s="755" t="str">
        <f>'Translate&amp;Prices&amp;Logo'!$O$548</f>
        <v>Nałożenie</v>
      </c>
      <c r="X197" s="755"/>
      <c r="Y197" s="755"/>
      <c r="Z197" s="755"/>
      <c r="AA197" s="755"/>
      <c r="AB197" s="239"/>
      <c r="AC197" s="756">
        <f>IFERROR(VLOOKUP(Ram_6!$H$14,$BD$12:$BE$29,2,0),0)</f>
        <v>0</v>
      </c>
      <c r="AD197" s="756"/>
      <c r="AE197" s="756"/>
      <c r="AF197" s="756"/>
      <c r="AG197" s="756"/>
      <c r="AH197" s="756"/>
      <c r="AI197" s="756"/>
      <c r="AJ197" s="756"/>
      <c r="AK197" s="756"/>
      <c r="AL197" s="756"/>
      <c r="AM197" s="756"/>
      <c r="AN197" s="756"/>
      <c r="AO197" s="756"/>
      <c r="AR197" s="779"/>
      <c r="CA197"/>
      <c r="CB197"/>
    </row>
    <row r="198" spans="19:80" ht="16.350000000000001" customHeight="1">
      <c r="S198" s="751">
        <f>Ram_6!AR14</f>
        <v>0</v>
      </c>
      <c r="W198" s="755" t="str">
        <f>'Translate&amp;Prices&amp;Logo'!$O$547</f>
        <v>Wariant okucia</v>
      </c>
      <c r="X198" s="755"/>
      <c r="Y198" s="755"/>
      <c r="Z198" s="755"/>
      <c r="AA198" s="755"/>
      <c r="AB198" s="239"/>
      <c r="AC198" s="758">
        <f>IFERROR(VLOOKUP(Ram_6!$H$15,kombinace_1!$ED$2:$EE$758,2,0),Ram_6!$H$15)</f>
        <v>0</v>
      </c>
      <c r="AD198" s="758"/>
      <c r="AE198" s="758"/>
      <c r="AF198" s="758"/>
      <c r="AG198" s="758"/>
      <c r="AH198" s="758"/>
      <c r="AI198" s="758"/>
      <c r="AJ198" s="758" t="str">
        <f>IF(AC198='Translate&amp;Prices&amp;Logo'!C700,VLOOKUP(Ram_6!H17,'Translate&amp;Prices&amp;Logo'!C701:D748,2,0),"")</f>
        <v/>
      </c>
      <c r="AK198" s="758"/>
      <c r="AL198" s="758"/>
      <c r="AM198" s="758"/>
      <c r="AN198" s="758"/>
      <c r="AO198" s="758"/>
      <c r="AR198" s="779"/>
      <c r="CA198"/>
      <c r="CB198"/>
    </row>
    <row r="199" spans="19:80" ht="16.350000000000001" customHeight="1">
      <c r="S199" s="752">
        <f>Ram_1!AR195</f>
        <v>0</v>
      </c>
      <c r="W199" s="755" t="str">
        <f>'Translate&amp;Prices&amp;Logo'!$O$220</f>
        <v>Wybierz pozycję ramki</v>
      </c>
      <c r="X199" s="755"/>
      <c r="Y199" s="755"/>
      <c r="Z199" s="755"/>
      <c r="AA199" s="755"/>
      <c r="AB199" s="756">
        <f>IFERROR(VLOOKUP(Ram_6!$F$16,BI12:BJ23,2,0),0)</f>
        <v>0</v>
      </c>
      <c r="AC199" s="756"/>
      <c r="AD199" s="756"/>
      <c r="AE199" s="756"/>
      <c r="AF199" s="756"/>
      <c r="AG199" s="760" t="str">
        <f>'Translate&amp;Prices&amp;Logo'!$O$234</f>
        <v>Rodzaj drugiej ramki</v>
      </c>
      <c r="AH199" s="760"/>
      <c r="AI199" s="760"/>
      <c r="AJ199" s="756">
        <f>IFERROR(VLOOKUP(Ram_6!$N$16,BM12:BN41,2,0),0)</f>
        <v>0</v>
      </c>
      <c r="AK199" s="756"/>
      <c r="AL199" s="756"/>
      <c r="AM199" s="756"/>
      <c r="AN199" s="756"/>
      <c r="AO199" s="756"/>
      <c r="AR199" s="779"/>
      <c r="CA199"/>
      <c r="CB199"/>
    </row>
    <row r="200" spans="19:80" ht="16.350000000000001" customHeight="1">
      <c r="S200" s="752">
        <f>Ram_1!AR196</f>
        <v>0</v>
      </c>
      <c r="W200" s="755" t="str">
        <f>IF(AC195='Translate&amp;Prices&amp;Logo'!O553,'Translate&amp;Prices&amp;Logo'!O240,'Translate&amp;Prices&amp;Logo'!$O$228)</f>
        <v>Umieszczenie</v>
      </c>
      <c r="X200" s="755"/>
      <c r="Y200" s="755"/>
      <c r="Z200" s="755"/>
      <c r="AA200" s="755"/>
      <c r="AB200" s="239"/>
      <c r="AC200" s="756" t="str">
        <f>IFERROR((IF(Ram_6!H12='Translate&amp;Prices&amp;Logo'!B554,VLOOKUP(Ram_6!$N$16,BM42:BN71,2,0),VLOOKUP(Ram_6!$H$17,BM42:BN65,2,0))),"")</f>
        <v/>
      </c>
      <c r="AD200" s="756"/>
      <c r="AE200" s="756"/>
      <c r="AF200" s="756"/>
      <c r="AG200" s="756"/>
      <c r="AH200" s="756"/>
      <c r="AI200" s="756"/>
      <c r="AJ200" s="756"/>
      <c r="AK200" s="756"/>
      <c r="AL200" s="756"/>
      <c r="AM200" s="756"/>
      <c r="AN200" s="756"/>
      <c r="AO200" s="756"/>
      <c r="AR200" s="779"/>
      <c r="CA200"/>
      <c r="CB200"/>
    </row>
    <row r="201" spans="19:80" ht="16.350000000000001" customHeight="1">
      <c r="S201" s="752">
        <f>Ram_1!AR197</f>
        <v>0</v>
      </c>
      <c r="W201" s="757" t="str">
        <f>IF(Ram_6!AU9=3,'Translate&amp;Prices&amp;Logo'!$O$549,"")</f>
        <v/>
      </c>
      <c r="X201" s="757"/>
      <c r="Y201" s="757"/>
      <c r="Z201" s="757"/>
      <c r="AA201" s="757"/>
      <c r="AB201" s="239"/>
      <c r="AC201" s="756">
        <f>IFERROR((VLOOKUP(Ram_6!$H$18,$CK$2:$CL$90,2,0)),Ram_6!$H$18)</f>
        <v>0</v>
      </c>
      <c r="AD201" s="756"/>
      <c r="AE201" s="756"/>
      <c r="AF201" s="756"/>
      <c r="AG201" s="756"/>
      <c r="AH201" s="756"/>
      <c r="AI201" s="756"/>
      <c r="AJ201" s="756"/>
      <c r="AK201" s="756"/>
      <c r="AL201" s="756"/>
      <c r="AM201" s="756"/>
      <c r="AN201" s="756"/>
      <c r="AO201" s="756"/>
      <c r="AR201" s="779"/>
      <c r="CA201"/>
      <c r="CB201"/>
    </row>
    <row r="202" spans="19:80" ht="16.350000000000001" customHeight="1">
      <c r="S202" s="752">
        <f>Ram_1!AR198</f>
        <v>0</v>
      </c>
      <c r="W202" s="755" t="str">
        <f>'Translate&amp;Prices&amp;Logo'!$O$225</f>
        <v>Ilość zawiasów na 1 ramkę</v>
      </c>
      <c r="X202" s="755"/>
      <c r="Y202" s="755"/>
      <c r="Z202" s="755"/>
      <c r="AA202" s="755"/>
      <c r="AB202" s="481"/>
      <c r="AC202" s="756">
        <f>Ram_6!$H$19</f>
        <v>0</v>
      </c>
      <c r="AD202" s="756"/>
      <c r="AE202" s="756"/>
      <c r="AF202" s="756"/>
      <c r="AG202" s="756"/>
      <c r="AH202" s="756"/>
      <c r="AI202" s="756"/>
      <c r="AJ202" s="756"/>
      <c r="AK202" s="756"/>
      <c r="AL202" s="756"/>
      <c r="AM202" s="756"/>
      <c r="AN202" s="756"/>
      <c r="AO202" s="756"/>
      <c r="AR202" s="779"/>
      <c r="CA202"/>
      <c r="CB202"/>
    </row>
    <row r="203" spans="19:80" ht="16.350000000000001" customHeight="1">
      <c r="S203" s="749" t="str">
        <f>'Translate&amp;Prices&amp;Logo'!$O$178</f>
        <v>Wysokość</v>
      </c>
      <c r="W203" s="755" t="str">
        <f>IFERROR(VLOOKUP(Ram_6!H17,kombinace_6!BY32:CD35,5,0),"")</f>
        <v/>
      </c>
      <c r="X203" s="755"/>
      <c r="Y203" s="755"/>
      <c r="Z203" s="755"/>
      <c r="AA203" s="755"/>
      <c r="AB203" s="756">
        <f>Ram_6!$F$20</f>
        <v>100</v>
      </c>
      <c r="AC203" s="756"/>
      <c r="AD203" s="756"/>
      <c r="AE203" s="756"/>
      <c r="AF203" s="756"/>
      <c r="AG203" s="755" t="str">
        <f>IFERROR(VLOOKUP(Ram_6!H17,kombinace_6!$BY$32:$CD$35,6,0),"")</f>
        <v/>
      </c>
      <c r="AH203" s="755"/>
      <c r="AI203" s="755"/>
      <c r="AJ203" s="755"/>
      <c r="AK203" s="755"/>
      <c r="AL203" s="756">
        <f>Ram_6!$N$20</f>
        <v>100</v>
      </c>
      <c r="AM203" s="756"/>
      <c r="AN203" s="756"/>
      <c r="AO203" s="756"/>
      <c r="AR203" s="779"/>
      <c r="CA203"/>
      <c r="CB203"/>
    </row>
    <row r="204" spans="19:80" ht="16.350000000000001" customHeight="1">
      <c r="S204" s="749" t="e">
        <f>Ram_1!#REF!</f>
        <v>#REF!</v>
      </c>
      <c r="W204" s="243" t="str">
        <f>'Translate&amp;Prices&amp;Logo'!$O$655</f>
        <v>Wypełnienie z siatki</v>
      </c>
      <c r="X204" s="126"/>
      <c r="Y204" s="126"/>
      <c r="Z204" s="126"/>
      <c r="AA204" s="126"/>
      <c r="AB204" s="481"/>
      <c r="AC204" s="759" t="str">
        <f>IF(kombinace_6!FC2=TRUE,"Tak","Nie")</f>
        <v>Nie</v>
      </c>
      <c r="AD204" s="759"/>
      <c r="AE204" s="759"/>
      <c r="AF204" s="759"/>
      <c r="AG204" s="759"/>
      <c r="AH204" s="759"/>
      <c r="AI204" s="759"/>
      <c r="AJ204" s="759"/>
      <c r="AK204" s="759"/>
      <c r="AL204" s="759"/>
      <c r="AM204" s="759"/>
      <c r="AN204" s="759"/>
      <c r="AO204" s="759"/>
      <c r="AR204" s="779"/>
      <c r="CA204"/>
      <c r="CB204"/>
    </row>
    <row r="205" spans="19:80" ht="16.350000000000001" customHeight="1">
      <c r="S205" s="749" t="e">
        <f>Ram_1!#REF!</f>
        <v>#REF!</v>
      </c>
      <c r="W205" s="755" t="str">
        <f>'Translate&amp;Prices&amp;Logo'!$O$175</f>
        <v>Rodzaj szkła</v>
      </c>
      <c r="X205" s="755"/>
      <c r="Y205" s="755"/>
      <c r="Z205" s="755"/>
      <c r="AA205" s="755"/>
      <c r="AB205" s="481"/>
      <c r="AC205" s="756" t="str">
        <f>IFERROR(VLOOKUP(kombinace_6!$V$1,BX192:BY194,2,0),0)</f>
        <v>Bez modyfikacji</v>
      </c>
      <c r="AD205" s="756"/>
      <c r="AE205" s="756"/>
      <c r="AF205" s="756"/>
      <c r="AG205" s="756"/>
      <c r="AH205" s="756"/>
      <c r="AI205" s="756"/>
      <c r="AJ205" s="756"/>
      <c r="AK205" s="756"/>
      <c r="AL205" s="756"/>
      <c r="AM205" s="756"/>
      <c r="AN205" s="756"/>
      <c r="AO205" s="756"/>
      <c r="AR205" s="779"/>
      <c r="CA205"/>
      <c r="CB205"/>
    </row>
    <row r="206" spans="19:80" ht="16.350000000000001" customHeight="1">
      <c r="S206" s="749" t="e">
        <f>Ram_1!#REF!</f>
        <v>#REF!</v>
      </c>
      <c r="W206" s="755" t="str">
        <f>'Translate&amp;Prices&amp;Logo'!$O$564</f>
        <v>Rodzaj folii</v>
      </c>
      <c r="X206" s="755"/>
      <c r="Y206" s="755"/>
      <c r="Z206" s="755"/>
      <c r="AA206" s="755"/>
      <c r="AB206" s="481"/>
      <c r="AC206" s="756">
        <f>IFERROR(VLOOKUP(Ram_6!$H$24,CA12:CB29,2,0),0)</f>
        <v>0</v>
      </c>
      <c r="AD206" s="756"/>
      <c r="AE206" s="756"/>
      <c r="AF206" s="756"/>
      <c r="AG206" s="756"/>
      <c r="AH206" s="756"/>
      <c r="AI206" s="756"/>
      <c r="AJ206" s="756"/>
      <c r="AK206" s="756"/>
      <c r="AL206" s="756"/>
      <c r="AM206" s="756"/>
      <c r="AN206" s="756"/>
      <c r="AO206" s="756"/>
      <c r="AR206" s="779"/>
      <c r="CA206"/>
      <c r="CB206"/>
    </row>
    <row r="207" spans="19:80" ht="16.350000000000001" customHeight="1" thickBot="1">
      <c r="S207" s="750" t="e">
        <f>Ram_1!#REF!</f>
        <v>#REF!</v>
      </c>
      <c r="W207" s="755" t="str">
        <f>'Translate&amp;Prices&amp;Logo'!$O$175</f>
        <v>Rodzaj szkła</v>
      </c>
      <c r="X207" s="755"/>
      <c r="Y207" s="755"/>
      <c r="Z207" s="755"/>
      <c r="AA207" s="755"/>
      <c r="AB207" s="481"/>
      <c r="AC207" s="756">
        <f>IFERROR(VLOOKUP(Ram_6!$H$25,'Translate&amp;Prices&amp;Logo'!$AH$1:$AI$167,2,0),Ram_6!$H$25)</f>
        <v>0</v>
      </c>
      <c r="AD207" s="756"/>
      <c r="AE207" s="756"/>
      <c r="AF207" s="756"/>
      <c r="AG207" s="756"/>
      <c r="AH207" s="756"/>
      <c r="AI207" s="756"/>
      <c r="AJ207" s="756"/>
      <c r="AK207" s="756"/>
      <c r="AL207" s="756"/>
      <c r="AM207" s="756"/>
      <c r="AN207" s="756"/>
      <c r="AO207" s="756"/>
      <c r="AR207" s="779"/>
    </row>
    <row r="208" spans="19:80" ht="16.350000000000001" customHeight="1">
      <c r="W208" s="755" t="str">
        <f>'Translate&amp;Prices&amp;Logo'!$O$551</f>
        <v>Rozstaw uchwytu (mm)</v>
      </c>
      <c r="X208" s="755"/>
      <c r="Y208" s="755"/>
      <c r="Z208" s="755"/>
      <c r="AA208" s="755"/>
      <c r="AB208" s="481"/>
      <c r="AC208" s="756">
        <f>Ram_6!$H$26</f>
        <v>0</v>
      </c>
      <c r="AD208" s="756"/>
      <c r="AE208" s="756"/>
      <c r="AF208" s="756"/>
      <c r="AG208" s="756"/>
      <c r="AH208" s="756"/>
      <c r="AI208" s="756"/>
      <c r="AJ208" s="756"/>
      <c r="AK208" s="756"/>
      <c r="AL208" s="756"/>
      <c r="AM208" s="756"/>
      <c r="AN208" s="756"/>
      <c r="AO208" s="756"/>
      <c r="AR208" s="779"/>
    </row>
    <row r="209" spans="1:44" ht="16.350000000000001" customHeight="1">
      <c r="W209" s="755" t="str">
        <f>'Translate&amp;Prices&amp;Logo'!$O$552</f>
        <v>Umieszczenie uchwytu</v>
      </c>
      <c r="X209" s="755"/>
      <c r="Y209" s="755"/>
      <c r="Z209" s="755"/>
      <c r="AA209" s="755"/>
      <c r="AB209" s="481"/>
      <c r="AC209" s="756">
        <f>IFERROR(VLOOKUP(Ram_6!$H$27,BM42:BN65,2,0),0)</f>
        <v>0</v>
      </c>
      <c r="AD209" s="756"/>
      <c r="AE209" s="756"/>
      <c r="AF209" s="756"/>
      <c r="AG209" s="756"/>
      <c r="AH209" s="756"/>
      <c r="AI209" s="756"/>
      <c r="AJ209" s="756"/>
      <c r="AK209" s="756"/>
      <c r="AL209" s="756"/>
      <c r="AM209" s="756"/>
      <c r="AN209" s="756"/>
      <c r="AO209" s="756"/>
      <c r="AR209" s="779"/>
    </row>
    <row r="210" spans="1:44" ht="16.350000000000001" customHeight="1">
      <c r="W210" s="755" t="str">
        <f>('Translate&amp;Prices&amp;Logo'!$O$176)&amp;" "&amp;"-"&amp;" "&amp;('Translate&amp;Prices&amp;Logo'!$O$171)&amp;" "&amp;" "&amp;6</f>
        <v>Ilość sztuk - Ramka  6</v>
      </c>
      <c r="X210" s="755"/>
      <c r="Y210" s="755"/>
      <c r="Z210" s="755"/>
      <c r="AA210" s="755"/>
      <c r="AB210" s="481"/>
      <c r="AC210" s="756">
        <f>Ram_6!$H$28</f>
        <v>0</v>
      </c>
      <c r="AD210" s="756"/>
      <c r="AE210" s="756"/>
      <c r="AF210" s="756"/>
      <c r="AG210" s="756"/>
      <c r="AH210" s="756"/>
      <c r="AI210" s="756"/>
      <c r="AJ210" s="756"/>
      <c r="AK210" s="756"/>
      <c r="AL210" s="756"/>
      <c r="AM210" s="756"/>
      <c r="AN210" s="756"/>
      <c r="AO210" s="756"/>
      <c r="AR210" s="779"/>
    </row>
    <row r="211" spans="1:44" ht="16.350000000000001" customHeight="1">
      <c r="AE211" s="1"/>
      <c r="AF211" s="1"/>
      <c r="AR211" s="779"/>
    </row>
    <row r="212" spans="1:44" ht="14.85" customHeight="1">
      <c r="AR212" s="779"/>
    </row>
    <row r="213" spans="1:44" ht="14.85" customHeight="1">
      <c r="W213" s="767" t="s">
        <v>1604</v>
      </c>
      <c r="X213" s="767"/>
      <c r="Y213" s="767"/>
      <c r="Z213" s="767"/>
      <c r="AE213" s="767" t="s">
        <v>1605</v>
      </c>
      <c r="AF213" s="767"/>
      <c r="AG213" s="767"/>
      <c r="AH213" s="767"/>
      <c r="AR213" s="779"/>
    </row>
    <row r="214" spans="1:44" ht="14.85" customHeight="1">
      <c r="AE214" s="768"/>
      <c r="AF214" s="769"/>
      <c r="AG214" s="769"/>
      <c r="AH214" s="769"/>
      <c r="AI214" s="769"/>
      <c r="AJ214" s="769"/>
      <c r="AK214" s="769"/>
      <c r="AL214" s="769"/>
      <c r="AM214" s="769"/>
      <c r="AN214" s="770"/>
      <c r="AR214" s="779"/>
    </row>
    <row r="215" spans="1:44" ht="14.85" customHeight="1">
      <c r="AE215" s="771"/>
      <c r="AF215" s="772"/>
      <c r="AG215" s="772"/>
      <c r="AH215" s="772"/>
      <c r="AI215" s="772"/>
      <c r="AJ215" s="772"/>
      <c r="AK215" s="772"/>
      <c r="AL215" s="772"/>
      <c r="AM215" s="772"/>
      <c r="AN215" s="773"/>
      <c r="AR215" s="779"/>
    </row>
    <row r="216" spans="1:44" ht="14.85" customHeight="1">
      <c r="AE216" s="771"/>
      <c r="AF216" s="772"/>
      <c r="AG216" s="772"/>
      <c r="AH216" s="772"/>
      <c r="AI216" s="772"/>
      <c r="AJ216" s="772"/>
      <c r="AK216" s="772"/>
      <c r="AL216" s="772"/>
      <c r="AM216" s="772"/>
      <c r="AN216" s="773"/>
      <c r="AR216" s="779"/>
    </row>
    <row r="217" spans="1:44" ht="14.85" customHeight="1">
      <c r="D217" s="766">
        <f>IF(OR(Ram_6!$AC$25="x",Ram_6!$AJ$26="x",Ram_6!$AC$9="x",Ram_6!$AJ$7="x",Ram_6!$AB$16="x",Ram_6!$AM$23="x",Ram_6!$AN$19="x",Ram_6!$AD$10="x"),'Translate&amp;Prices&amp;Logo'!$B$590,0)</f>
        <v>0</v>
      </c>
      <c r="E217" s="766"/>
      <c r="F217" s="766"/>
      <c r="G217" s="766"/>
      <c r="H217" s="766"/>
      <c r="I217" s="766"/>
      <c r="J217" s="766"/>
      <c r="K217" s="766"/>
      <c r="L217" s="766"/>
      <c r="M217" s="766"/>
      <c r="N217" s="766"/>
      <c r="O217" s="766"/>
      <c r="P217" s="766"/>
      <c r="AE217" s="771"/>
      <c r="AF217" s="772"/>
      <c r="AG217" s="772"/>
      <c r="AH217" s="772"/>
      <c r="AI217" s="772"/>
      <c r="AJ217" s="772"/>
      <c r="AK217" s="772"/>
      <c r="AL217" s="772"/>
      <c r="AM217" s="772"/>
      <c r="AN217" s="773"/>
      <c r="AR217" s="779"/>
    </row>
    <row r="218" spans="1:44" ht="14.85" customHeight="1">
      <c r="AE218" s="771"/>
      <c r="AF218" s="772"/>
      <c r="AG218" s="772"/>
      <c r="AH218" s="772"/>
      <c r="AI218" s="772"/>
      <c r="AJ218" s="772"/>
      <c r="AK218" s="772"/>
      <c r="AL218" s="772"/>
      <c r="AM218" s="772"/>
      <c r="AN218" s="773"/>
      <c r="AR218" s="779"/>
    </row>
    <row r="219" spans="1:44" ht="14.85" customHeight="1" thickBot="1">
      <c r="AE219" s="771"/>
      <c r="AF219" s="772"/>
      <c r="AG219" s="772"/>
      <c r="AH219" s="772"/>
      <c r="AI219" s="772"/>
      <c r="AJ219" s="772"/>
      <c r="AK219" s="772"/>
      <c r="AL219" s="772"/>
      <c r="AM219" s="772"/>
      <c r="AN219" s="773"/>
      <c r="AR219" s="779"/>
    </row>
    <row r="220" spans="1:44" ht="14.85" customHeight="1" thickBot="1">
      <c r="G220" s="745" t="str">
        <f>'Translate&amp;Prices&amp;Logo'!$O$177</f>
        <v>Szerokość</v>
      </c>
      <c r="H220" s="746" t="e">
        <f>Ram_1!#REF!</f>
        <v>#REF!</v>
      </c>
      <c r="I220" s="746" t="e">
        <f>Ram_1!#REF!</f>
        <v>#REF!</v>
      </c>
      <c r="J220" s="747">
        <f>Ram_6!AI30</f>
        <v>0</v>
      </c>
      <c r="K220" s="747" t="e">
        <f>Ram_1!#REF!</f>
        <v>#REF!</v>
      </c>
      <c r="L220" s="748" t="e">
        <f>Ram_1!#REF!</f>
        <v>#REF!</v>
      </c>
      <c r="AE220" s="771"/>
      <c r="AF220" s="772"/>
      <c r="AG220" s="772"/>
      <c r="AH220" s="772"/>
      <c r="AI220" s="772"/>
      <c r="AJ220" s="772"/>
      <c r="AK220" s="772"/>
      <c r="AL220" s="772"/>
      <c r="AM220" s="772"/>
      <c r="AN220" s="773"/>
      <c r="AR220" s="779"/>
    </row>
    <row r="221" spans="1:44" ht="21" customHeight="1">
      <c r="AE221" s="774"/>
      <c r="AF221" s="775"/>
      <c r="AG221" s="775"/>
      <c r="AH221" s="775"/>
      <c r="AI221" s="775"/>
      <c r="AJ221" s="775"/>
      <c r="AK221" s="775"/>
      <c r="AL221" s="775"/>
      <c r="AM221" s="775"/>
      <c r="AN221" s="776"/>
      <c r="AR221" s="779"/>
    </row>
    <row r="222" spans="1:44" ht="14.85" customHeight="1">
      <c r="AR222" s="779"/>
    </row>
    <row r="223" spans="1:44" ht="14.85" customHeight="1">
      <c r="AR223" s="779"/>
    </row>
    <row r="224" spans="1:44" ht="14.8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24"/>
      <c r="AF224" s="125"/>
      <c r="AG224" s="18"/>
      <c r="AH224" s="18"/>
      <c r="AI224" s="18"/>
      <c r="AJ224" s="18"/>
      <c r="AK224" s="18"/>
      <c r="AL224" s="18"/>
      <c r="AM224" s="18"/>
      <c r="AN224" s="18"/>
      <c r="AO224" s="18"/>
      <c r="AP224" s="18"/>
      <c r="AQ224" s="18"/>
      <c r="AR224" s="18"/>
    </row>
  </sheetData>
  <mergeCells count="360">
    <mergeCell ref="Q7:U7"/>
    <mergeCell ref="A10:B32"/>
    <mergeCell ref="B5:C5"/>
    <mergeCell ref="AC204:AO204"/>
    <mergeCell ref="AC95:AF95"/>
    <mergeCell ref="AC59:AF59"/>
    <mergeCell ref="W51:AA51"/>
    <mergeCell ref="AC45:AO45"/>
    <mergeCell ref="AC9:AO9"/>
    <mergeCell ref="W9:AA9"/>
    <mergeCell ref="W45:AA45"/>
    <mergeCell ref="W81:AA81"/>
    <mergeCell ref="AC21:AO21"/>
    <mergeCell ref="AC22:AO22"/>
    <mergeCell ref="W18:AA18"/>
    <mergeCell ref="W19:AA19"/>
    <mergeCell ref="W20:AA20"/>
    <mergeCell ref="W21:AA21"/>
    <mergeCell ref="W33:Z33"/>
    <mergeCell ref="W50:AA50"/>
    <mergeCell ref="AC25:AO25"/>
    <mergeCell ref="W24:AA24"/>
    <mergeCell ref="W22:AA22"/>
    <mergeCell ref="W14:AA14"/>
    <mergeCell ref="AB55:AF55"/>
    <mergeCell ref="W56:AA56"/>
    <mergeCell ref="AO1:AR1"/>
    <mergeCell ref="AN2:AR3"/>
    <mergeCell ref="G40:I40"/>
    <mergeCell ref="J40:L40"/>
    <mergeCell ref="S18:S22"/>
    <mergeCell ref="S23:S27"/>
    <mergeCell ref="W10:AA10"/>
    <mergeCell ref="W11:AA11"/>
    <mergeCell ref="W12:AA12"/>
    <mergeCell ref="W15:AA15"/>
    <mergeCell ref="W29:AA29"/>
    <mergeCell ref="W30:AA30"/>
    <mergeCell ref="W27:AA27"/>
    <mergeCell ref="W28:AA28"/>
    <mergeCell ref="W23:AA23"/>
    <mergeCell ref="W25:AA25"/>
    <mergeCell ref="W26:AA26"/>
    <mergeCell ref="W16:AA16"/>
    <mergeCell ref="W17:AA17"/>
    <mergeCell ref="AC10:AO10"/>
    <mergeCell ref="AC11:AO11"/>
    <mergeCell ref="AC12:AO12"/>
    <mergeCell ref="AC14:AI14"/>
    <mergeCell ref="AJ14:AO14"/>
    <mergeCell ref="AR9:AR43"/>
    <mergeCell ref="AC13:AI13"/>
    <mergeCell ref="AC29:AO29"/>
    <mergeCell ref="AC30:AO30"/>
    <mergeCell ref="AL23:AO23"/>
    <mergeCell ref="AB23:AF23"/>
    <mergeCell ref="AC17:AO17"/>
    <mergeCell ref="AC28:AO28"/>
    <mergeCell ref="AE34:AN41"/>
    <mergeCell ref="AB19:AF19"/>
    <mergeCell ref="AC18:AI18"/>
    <mergeCell ref="AC15:AO15"/>
    <mergeCell ref="AC24:AO24"/>
    <mergeCell ref="AC26:AO26"/>
    <mergeCell ref="AC27:AO27"/>
    <mergeCell ref="AE33:AH33"/>
    <mergeCell ref="AC16:AO16"/>
    <mergeCell ref="AJ13:AO13"/>
    <mergeCell ref="AJ18:AO18"/>
    <mergeCell ref="AG23:AK23"/>
    <mergeCell ref="AG19:AI19"/>
    <mergeCell ref="AJ19:AO19"/>
    <mergeCell ref="AR45:AR79"/>
    <mergeCell ref="W46:AA46"/>
    <mergeCell ref="AC46:AO46"/>
    <mergeCell ref="W47:AA47"/>
    <mergeCell ref="AC47:AO47"/>
    <mergeCell ref="W48:AA48"/>
    <mergeCell ref="AC48:AO48"/>
    <mergeCell ref="AC49:AI49"/>
    <mergeCell ref="W58:AA58"/>
    <mergeCell ref="W52:AA52"/>
    <mergeCell ref="AC63:AO63"/>
    <mergeCell ref="AJ49:AO49"/>
    <mergeCell ref="AC50:AI50"/>
    <mergeCell ref="AJ50:AO50"/>
    <mergeCell ref="AC51:AO51"/>
    <mergeCell ref="AC57:AO57"/>
    <mergeCell ref="AC58:AO58"/>
    <mergeCell ref="AC52:AO52"/>
    <mergeCell ref="W53:AA53"/>
    <mergeCell ref="AC53:AO53"/>
    <mergeCell ref="W64:AA64"/>
    <mergeCell ref="AC64:AO64"/>
    <mergeCell ref="W54:AA54"/>
    <mergeCell ref="W55:AA55"/>
    <mergeCell ref="W90:AA90"/>
    <mergeCell ref="W91:AA91"/>
    <mergeCell ref="W93:AA93"/>
    <mergeCell ref="W69:Z69"/>
    <mergeCell ref="AE69:AH69"/>
    <mergeCell ref="AE70:AN77"/>
    <mergeCell ref="AC89:AO89"/>
    <mergeCell ref="W84:AA84"/>
    <mergeCell ref="AC84:AO84"/>
    <mergeCell ref="AB91:AF91"/>
    <mergeCell ref="W92:AA92"/>
    <mergeCell ref="AC92:AO92"/>
    <mergeCell ref="AK91:AO91"/>
    <mergeCell ref="AJ86:AO86"/>
    <mergeCell ref="W59:AA59"/>
    <mergeCell ref="AG59:AK59"/>
    <mergeCell ref="AL59:AO59"/>
    <mergeCell ref="W61:AA61"/>
    <mergeCell ref="AC61:AO61"/>
    <mergeCell ref="W62:AA62"/>
    <mergeCell ref="W65:AA65"/>
    <mergeCell ref="AC65:AO65"/>
    <mergeCell ref="W63:AA63"/>
    <mergeCell ref="AC97:AO97"/>
    <mergeCell ref="W99:AA99"/>
    <mergeCell ref="AC99:AO99"/>
    <mergeCell ref="AC98:AO98"/>
    <mergeCell ref="AC96:AO96"/>
    <mergeCell ref="AG95:AK95"/>
    <mergeCell ref="AL95:AO95"/>
    <mergeCell ref="W97:AA97"/>
    <mergeCell ref="AR81:AR115"/>
    <mergeCell ref="W82:AA82"/>
    <mergeCell ref="AC82:AO82"/>
    <mergeCell ref="W83:AA83"/>
    <mergeCell ref="AC83:AO83"/>
    <mergeCell ref="W87:AA87"/>
    <mergeCell ref="AC87:AO87"/>
    <mergeCell ref="W88:AA88"/>
    <mergeCell ref="AC88:AO88"/>
    <mergeCell ref="W89:AA89"/>
    <mergeCell ref="W100:AA100"/>
    <mergeCell ref="AC100:AO100"/>
    <mergeCell ref="W94:AA94"/>
    <mergeCell ref="AC94:AO94"/>
    <mergeCell ref="AC85:AI85"/>
    <mergeCell ref="AJ85:AO85"/>
    <mergeCell ref="W98:AA98"/>
    <mergeCell ref="AE105:AH105"/>
    <mergeCell ref="AC93:AO93"/>
    <mergeCell ref="AC81:AO81"/>
    <mergeCell ref="AC90:AI90"/>
    <mergeCell ref="AJ90:AO90"/>
    <mergeCell ref="AG91:AI91"/>
    <mergeCell ref="AC137:AO137"/>
    <mergeCell ref="AE106:AN113"/>
    <mergeCell ref="AJ122:AO122"/>
    <mergeCell ref="W123:AA123"/>
    <mergeCell ref="AC123:AO123"/>
    <mergeCell ref="AB127:AF127"/>
    <mergeCell ref="W101:AA101"/>
    <mergeCell ref="AC101:AO101"/>
    <mergeCell ref="W102:AA102"/>
    <mergeCell ref="AC102:AO102"/>
    <mergeCell ref="W105:Z105"/>
    <mergeCell ref="AC117:AO117"/>
    <mergeCell ref="W124:AA124"/>
    <mergeCell ref="AC124:AO124"/>
    <mergeCell ref="W125:AA125"/>
    <mergeCell ref="AC125:AO125"/>
    <mergeCell ref="AC121:AI121"/>
    <mergeCell ref="AC126:AI126"/>
    <mergeCell ref="AJ126:AO126"/>
    <mergeCell ref="AG127:AI127"/>
    <mergeCell ref="AJ127:AO127"/>
    <mergeCell ref="AC135:AO135"/>
    <mergeCell ref="AR117:AR151"/>
    <mergeCell ref="W118:AA118"/>
    <mergeCell ref="AC118:AO118"/>
    <mergeCell ref="W119:AA119"/>
    <mergeCell ref="AC119:AO119"/>
    <mergeCell ref="W120:AA120"/>
    <mergeCell ref="AC120:AO120"/>
    <mergeCell ref="W126:AA126"/>
    <mergeCell ref="W127:AA127"/>
    <mergeCell ref="W128:AA128"/>
    <mergeCell ref="AC128:AO128"/>
    <mergeCell ref="W129:AA129"/>
    <mergeCell ref="AC129:AO129"/>
    <mergeCell ref="AE141:AH141"/>
    <mergeCell ref="AE142:AN149"/>
    <mergeCell ref="W136:AA136"/>
    <mergeCell ref="W135:AA135"/>
    <mergeCell ref="AR153:AR187"/>
    <mergeCell ref="W154:AA154"/>
    <mergeCell ref="AC154:AO154"/>
    <mergeCell ref="W155:AA155"/>
    <mergeCell ref="AC155:AO155"/>
    <mergeCell ref="W165:AA165"/>
    <mergeCell ref="AC160:AO160"/>
    <mergeCell ref="W161:AA161"/>
    <mergeCell ref="AC161:AO161"/>
    <mergeCell ref="W167:AA167"/>
    <mergeCell ref="AC165:AO165"/>
    <mergeCell ref="AL167:AO167"/>
    <mergeCell ref="W160:AA160"/>
    <mergeCell ref="AC156:AO156"/>
    <mergeCell ref="W153:AA153"/>
    <mergeCell ref="AC153:AO153"/>
    <mergeCell ref="W156:AA156"/>
    <mergeCell ref="AR189:AR223"/>
    <mergeCell ref="W190:AA190"/>
    <mergeCell ref="AC190:AO190"/>
    <mergeCell ref="W191:AA191"/>
    <mergeCell ref="AC191:AO191"/>
    <mergeCell ref="AC193:AI193"/>
    <mergeCell ref="AJ193:AO193"/>
    <mergeCell ref="W194:AA194"/>
    <mergeCell ref="AC195:AO195"/>
    <mergeCell ref="W202:AA202"/>
    <mergeCell ref="W192:AA192"/>
    <mergeCell ref="W201:AA201"/>
    <mergeCell ref="AC201:AO201"/>
    <mergeCell ref="W196:AA196"/>
    <mergeCell ref="AC196:AO196"/>
    <mergeCell ref="W197:AA197"/>
    <mergeCell ref="AC197:AO197"/>
    <mergeCell ref="W195:AA195"/>
    <mergeCell ref="AC194:AI194"/>
    <mergeCell ref="AL203:AO203"/>
    <mergeCell ref="W205:AA205"/>
    <mergeCell ref="AC205:AO205"/>
    <mergeCell ref="AG199:AI199"/>
    <mergeCell ref="AJ199:AO199"/>
    <mergeCell ref="W208:AA208"/>
    <mergeCell ref="AC20:AI20"/>
    <mergeCell ref="AJ20:AO20"/>
    <mergeCell ref="AB199:AF199"/>
    <mergeCell ref="AC173:AO173"/>
    <mergeCell ref="AE178:AN185"/>
    <mergeCell ref="W172:AA172"/>
    <mergeCell ref="W177:Z177"/>
    <mergeCell ref="W158:AA158"/>
    <mergeCell ref="AC158:AI158"/>
    <mergeCell ref="AJ158:AO158"/>
    <mergeCell ref="W170:AA170"/>
    <mergeCell ref="AC170:AO170"/>
    <mergeCell ref="AC157:AI157"/>
    <mergeCell ref="AE177:AH177"/>
    <mergeCell ref="W122:AA122"/>
    <mergeCell ref="W141:Z141"/>
    <mergeCell ref="W130:AA130"/>
    <mergeCell ref="AC130:AO130"/>
    <mergeCell ref="W131:AA131"/>
    <mergeCell ref="AC136:AO136"/>
    <mergeCell ref="W137:AA137"/>
    <mergeCell ref="AJ121:AO121"/>
    <mergeCell ref="W117:AA117"/>
    <mergeCell ref="S203:S207"/>
    <mergeCell ref="W203:AA203"/>
    <mergeCell ref="AB203:AF203"/>
    <mergeCell ref="AG203:AK203"/>
    <mergeCell ref="D37:P37"/>
    <mergeCell ref="D73:P73"/>
    <mergeCell ref="D109:P109"/>
    <mergeCell ref="D145:P145"/>
    <mergeCell ref="D181:P181"/>
    <mergeCell ref="G184:I184"/>
    <mergeCell ref="J184:L184"/>
    <mergeCell ref="W159:AA159"/>
    <mergeCell ref="AC159:AO159"/>
    <mergeCell ref="AJ157:AO157"/>
    <mergeCell ref="AC164:AO164"/>
    <mergeCell ref="AC162:AI162"/>
    <mergeCell ref="AJ162:AO162"/>
    <mergeCell ref="W164:AA164"/>
    <mergeCell ref="W162:AA162"/>
    <mergeCell ref="W163:AA163"/>
    <mergeCell ref="S198:S202"/>
    <mergeCell ref="W198:AA198"/>
    <mergeCell ref="W199:AA199"/>
    <mergeCell ref="AC122:AI122"/>
    <mergeCell ref="J220:L220"/>
    <mergeCell ref="AC207:AO207"/>
    <mergeCell ref="AC189:AO189"/>
    <mergeCell ref="W189:AA189"/>
    <mergeCell ref="W210:AA210"/>
    <mergeCell ref="AC210:AO210"/>
    <mergeCell ref="AC208:AO208"/>
    <mergeCell ref="W209:AA209"/>
    <mergeCell ref="AC209:AO209"/>
    <mergeCell ref="AC202:AO202"/>
    <mergeCell ref="AJ194:AO194"/>
    <mergeCell ref="AC198:AI198"/>
    <mergeCell ref="AJ198:AO198"/>
    <mergeCell ref="AC200:AO200"/>
    <mergeCell ref="W200:AA200"/>
    <mergeCell ref="AC192:AO192"/>
    <mergeCell ref="D217:P217"/>
    <mergeCell ref="W213:Z213"/>
    <mergeCell ref="AE213:AH213"/>
    <mergeCell ref="AE214:AN221"/>
    <mergeCell ref="G220:I220"/>
    <mergeCell ref="W206:AA206"/>
    <mergeCell ref="AC206:AO206"/>
    <mergeCell ref="W207:AA207"/>
    <mergeCell ref="S162:S166"/>
    <mergeCell ref="AB163:AF163"/>
    <mergeCell ref="AB167:AF167"/>
    <mergeCell ref="AG167:AK167"/>
    <mergeCell ref="W166:AA166"/>
    <mergeCell ref="AC166:AO166"/>
    <mergeCell ref="S167:S171"/>
    <mergeCell ref="W174:AA174"/>
    <mergeCell ref="AG163:AI163"/>
    <mergeCell ref="AJ163:AO163"/>
    <mergeCell ref="AF4:AF5"/>
    <mergeCell ref="G148:I148"/>
    <mergeCell ref="J148:L148"/>
    <mergeCell ref="S126:S130"/>
    <mergeCell ref="S59:S63"/>
    <mergeCell ref="AC174:AO174"/>
    <mergeCell ref="W169:AA169"/>
    <mergeCell ref="AC169:AO169"/>
    <mergeCell ref="W173:AA173"/>
    <mergeCell ref="W171:AA171"/>
    <mergeCell ref="AC172:AO172"/>
    <mergeCell ref="AC171:AO171"/>
    <mergeCell ref="AC168:AO168"/>
    <mergeCell ref="W138:AA138"/>
    <mergeCell ref="AC138:AO138"/>
    <mergeCell ref="AC132:AO132"/>
    <mergeCell ref="AB131:AF131"/>
    <mergeCell ref="AG131:AK131"/>
    <mergeCell ref="AL131:AO131"/>
    <mergeCell ref="W133:AA133"/>
    <mergeCell ref="AC133:AO133"/>
    <mergeCell ref="S131:S135"/>
    <mergeCell ref="W134:AA134"/>
    <mergeCell ref="AC134:AO134"/>
    <mergeCell ref="AL1:AN1"/>
    <mergeCell ref="D8:K8"/>
    <mergeCell ref="D5:K5"/>
    <mergeCell ref="D6:K6"/>
    <mergeCell ref="D7:K7"/>
    <mergeCell ref="G112:I112"/>
    <mergeCell ref="J112:L112"/>
    <mergeCell ref="S95:S99"/>
    <mergeCell ref="S54:S58"/>
    <mergeCell ref="X4:AE5"/>
    <mergeCell ref="W95:AA95"/>
    <mergeCell ref="W86:AA86"/>
    <mergeCell ref="AC86:AI86"/>
    <mergeCell ref="G76:I76"/>
    <mergeCell ref="J76:L76"/>
    <mergeCell ref="S90:S94"/>
    <mergeCell ref="W57:AA57"/>
    <mergeCell ref="AC62:AO62"/>
    <mergeCell ref="AJ54:AO54"/>
    <mergeCell ref="AC60:AO60"/>
    <mergeCell ref="AG55:AI55"/>
    <mergeCell ref="AJ55:AO55"/>
    <mergeCell ref="W66:AA66"/>
    <mergeCell ref="AC66:AO66"/>
  </mergeCells>
  <conditionalFormatting sqref="D37:P37">
    <cfRule type="cellIs" dxfId="134" priority="82" operator="equal">
      <formula>0</formula>
    </cfRule>
  </conditionalFormatting>
  <conditionalFormatting sqref="D73:P73">
    <cfRule type="cellIs" dxfId="133" priority="80" operator="equal">
      <formula>0</formula>
    </cfRule>
  </conditionalFormatting>
  <conditionalFormatting sqref="D109:P109">
    <cfRule type="cellIs" dxfId="132" priority="79" operator="equal">
      <formula>0</formula>
    </cfRule>
  </conditionalFormatting>
  <conditionalFormatting sqref="D145:P145">
    <cfRule type="cellIs" dxfId="131" priority="78" operator="equal">
      <formula>0</formula>
    </cfRule>
  </conditionalFormatting>
  <conditionalFormatting sqref="D181:P181">
    <cfRule type="cellIs" dxfId="130" priority="77" operator="equal">
      <formula>0</formula>
    </cfRule>
  </conditionalFormatting>
  <conditionalFormatting sqref="D217:P217">
    <cfRule type="cellIs" dxfId="129" priority="76" operator="equal">
      <formula>0</formula>
    </cfRule>
  </conditionalFormatting>
  <conditionalFormatting sqref="W21:AA21">
    <cfRule type="notContainsBlanks" dxfId="127" priority="769">
      <formula>LEN(TRIM(W21))&gt;0</formula>
    </cfRule>
  </conditionalFormatting>
  <conditionalFormatting sqref="W57:AA57">
    <cfRule type="notContainsBlanks" dxfId="126" priority="5">
      <formula>LEN(TRIM(W57))&gt;0</formula>
    </cfRule>
  </conditionalFormatting>
  <conditionalFormatting sqref="W93:AA93">
    <cfRule type="notContainsBlanks" dxfId="125" priority="4">
      <formula>LEN(TRIM(W93))&gt;0</formula>
    </cfRule>
  </conditionalFormatting>
  <conditionalFormatting sqref="W129:AA129">
    <cfRule type="notContainsBlanks" dxfId="124" priority="3">
      <formula>LEN(TRIM(W129))&gt;0</formula>
    </cfRule>
  </conditionalFormatting>
  <conditionalFormatting sqref="W165:AA165">
    <cfRule type="notContainsBlanks" dxfId="123" priority="2">
      <formula>LEN(TRIM(W165))&gt;0</formula>
    </cfRule>
  </conditionalFormatting>
  <conditionalFormatting sqref="W201:AA201">
    <cfRule type="notContainsBlanks" dxfId="122" priority="1">
      <formula>LEN(TRIM(W201))&gt;0</formula>
    </cfRule>
  </conditionalFormatting>
  <conditionalFormatting sqref="W19:AG19 AJ19">
    <cfRule type="expression" dxfId="121" priority="199">
      <formula>$AB$19=0</formula>
    </cfRule>
  </conditionalFormatting>
  <conditionalFormatting sqref="W55:AG55 AJ55">
    <cfRule type="expression" dxfId="120" priority="119">
      <formula>$AB$55=0</formula>
    </cfRule>
  </conditionalFormatting>
  <conditionalFormatting sqref="W91:AG91 AJ91:AK91">
    <cfRule type="expression" dxfId="119" priority="111">
      <formula>$AB$91=0</formula>
    </cfRule>
  </conditionalFormatting>
  <conditionalFormatting sqref="W127:AG127 AJ127">
    <cfRule type="expression" dxfId="118" priority="103">
      <formula>$AB$127=0</formula>
    </cfRule>
  </conditionalFormatting>
  <conditionalFormatting sqref="W163:AG163 AJ163">
    <cfRule type="expression" dxfId="117" priority="95">
      <formula>$AB$163=0</formula>
    </cfRule>
  </conditionalFormatting>
  <conditionalFormatting sqref="W199:AG199 AJ199">
    <cfRule type="expression" dxfId="116" priority="87">
      <formula>$AB$199=0</formula>
    </cfRule>
  </conditionalFormatting>
  <conditionalFormatting sqref="AC13">
    <cfRule type="expression" dxfId="115" priority="58" stopIfTrue="1">
      <formula>$AC$14=0</formula>
    </cfRule>
  </conditionalFormatting>
  <conditionalFormatting sqref="AC49:AI50">
    <cfRule type="expression" dxfId="114" priority="56" stopIfTrue="1">
      <formula>$AC$50=0</formula>
    </cfRule>
  </conditionalFormatting>
  <conditionalFormatting sqref="AC85:AI86">
    <cfRule type="expression" dxfId="113" priority="54" stopIfTrue="1">
      <formula>$AC$86=0</formula>
    </cfRule>
  </conditionalFormatting>
  <conditionalFormatting sqref="AC121:AI122">
    <cfRule type="expression" dxfId="112" priority="52" stopIfTrue="1">
      <formula>$AC$122=0</formula>
    </cfRule>
  </conditionalFormatting>
  <conditionalFormatting sqref="AC157:AI158">
    <cfRule type="expression" dxfId="111" priority="50" stopIfTrue="1">
      <formula>$AC$158=0</formula>
    </cfRule>
  </conditionalFormatting>
  <conditionalFormatting sqref="AC193:AI194">
    <cfRule type="expression" dxfId="110" priority="48" stopIfTrue="1">
      <formula>$AC$194=0</formula>
    </cfRule>
  </conditionalFormatting>
  <conditionalFormatting sqref="AC17:AO17">
    <cfRule type="expression" dxfId="109" priority="200">
      <formula>$AC$17=0</formula>
    </cfRule>
  </conditionalFormatting>
  <conditionalFormatting sqref="AC53:AO53">
    <cfRule type="expression" dxfId="108" priority="120">
      <formula>$AC$53=0</formula>
    </cfRule>
  </conditionalFormatting>
  <conditionalFormatting sqref="AC89:AO89">
    <cfRule type="expression" dxfId="107" priority="112">
      <formula>$AC$89=0</formula>
    </cfRule>
  </conditionalFormatting>
  <conditionalFormatting sqref="AC125:AO125">
    <cfRule type="expression" dxfId="106" priority="104">
      <formula>$AC$125=0</formula>
    </cfRule>
  </conditionalFormatting>
  <conditionalFormatting sqref="AC161:AO161">
    <cfRule type="expression" dxfId="105" priority="96">
      <formula>$AC$161=0</formula>
    </cfRule>
  </conditionalFormatting>
  <conditionalFormatting sqref="AC197:AO197">
    <cfRule type="expression" dxfId="104" priority="88">
      <formula>$AC$197=0</formula>
    </cfRule>
  </conditionalFormatting>
  <conditionalFormatting sqref="AJ13:AO14">
    <cfRule type="expression" dxfId="103" priority="57" stopIfTrue="1">
      <formula>$AJ$14=0</formula>
    </cfRule>
  </conditionalFormatting>
  <conditionalFormatting sqref="AJ49:AO50">
    <cfRule type="expression" dxfId="102" priority="55" stopIfTrue="1">
      <formula>$AJ$50=0</formula>
    </cfRule>
  </conditionalFormatting>
  <conditionalFormatting sqref="AJ85:AO86">
    <cfRule type="expression" dxfId="101" priority="53" stopIfTrue="1">
      <formula>$AJ$86=0</formula>
    </cfRule>
  </conditionalFormatting>
  <conditionalFormatting sqref="AJ121:AO122">
    <cfRule type="expression" dxfId="100" priority="51" stopIfTrue="1">
      <formula>$AJ$122=0</formula>
    </cfRule>
  </conditionalFormatting>
  <conditionalFormatting sqref="AJ157:AO158">
    <cfRule type="expression" dxfId="99" priority="49" stopIfTrue="1">
      <formula>$AJ$158=0</formula>
    </cfRule>
  </conditionalFormatting>
  <conditionalFormatting sqref="AJ193:AO194">
    <cfRule type="expression" dxfId="98" priority="47" stopIfTrue="1">
      <formula>$AJ$194=0</formula>
    </cfRule>
  </conditionalFormatting>
  <conditionalFormatting sqref="BS68:BT71">
    <cfRule type="expression" dxfId="97" priority="42" stopIfTrue="1">
      <formula>AND(COUNTIF($M$582:$M$587, BS68)+COUNTIF($M$593:$M$624, BS68)+COUNTIF($M$627:$M$627, BS68)+COUNTIF($M$642:$M$644, BS68)&gt;1,NOT(ISBLANK(BS68)))</formula>
    </cfRule>
  </conditionalFormatting>
  <conditionalFormatting sqref="BS104:BT107">
    <cfRule type="expression" dxfId="96" priority="41" stopIfTrue="1">
      <formula>AND(COUNTIF($M$582:$M$587, BS104)+COUNTIF($M$593:$M$624, BS104)+COUNTIF($M$627:$M$627, BS104)+COUNTIF($M$642:$M$644, BS104)&gt;1,NOT(ISBLANK(BS104)))</formula>
    </cfRule>
  </conditionalFormatting>
  <conditionalFormatting sqref="CK100:CK1048576 CK1:CK90">
    <cfRule type="duplicateValues" dxfId="95" priority="767"/>
  </conditionalFormatting>
  <conditionalFormatting sqref="CL73:CL84">
    <cfRule type="duplicateValues" dxfId="94" priority="10"/>
  </conditionalFormatting>
  <conditionalFormatting sqref="CL86:CL87">
    <cfRule type="duplicateValues" dxfId="93" priority="9"/>
  </conditionalFormatting>
  <conditionalFormatting sqref="CL89:CL90">
    <cfRule type="duplicateValues" dxfId="92" priority="8"/>
  </conditionalFormatting>
  <pageMargins left="0.7" right="0.7" top="0.78740157499999996" bottom="0.78740157499999996" header="0.3" footer="0.3"/>
  <pageSetup paperSize="9" scale="38" fitToHeight="3" orientation="landscape" verticalDpi="300" r:id="rId1"/>
  <rowBreaks count="2" manualBreakCount="2">
    <brk id="80" max="43" man="1"/>
    <brk id="152"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 id="{FDB969C2-AD84-4498-BEF1-5E09E0117070}">
            <xm:f>Hlavní!$V$39=3</xm:f>
            <x14:dxf>
              <font>
                <color theme="1"/>
              </font>
              <fill>
                <patternFill>
                  <bgColor rgb="FFFFFF00"/>
                </patternFill>
              </fill>
            </x14:dxf>
          </x14:cfRule>
          <xm:sqref>B5:K5</xm:sqref>
        </x14:conditionalFormatting>
        <x14:conditionalFormatting xmlns:xm="http://schemas.microsoft.com/office/excel/2006/main">
          <x14:cfRule type="expression" priority="13" id="{ABBE0A8E-D02B-40AB-AB72-323015263E04}">
            <xm:f>Zakaznik!$K$23="Dostawa na adres"</xm:f>
            <x14:dxf>
              <font>
                <color theme="1"/>
              </font>
              <fill>
                <patternFill>
                  <bgColor rgb="FFFFFF00"/>
                </patternFill>
              </fill>
            </x14:dxf>
          </x14:cfRule>
          <xm:sqref>M5:U6 D6:K8 M7:Q7 M8:U8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91C-6E11-49ED-81FE-8F6ADD9FD4D4}">
  <sheetPr codeName="List22">
    <tabColor rgb="FF92D050"/>
  </sheetPr>
  <dimension ref="A1:BG190"/>
  <sheetViews>
    <sheetView workbookViewId="0"/>
  </sheetViews>
  <sheetFormatPr defaultColWidth="8.5703125" defaultRowHeight="0" customHeight="1" zeroHeight="1" outlineLevelRow="6"/>
  <cols>
    <col min="1" max="1" width="3.28515625" style="1" customWidth="1"/>
    <col min="2" max="8" width="3.28515625" style="1" hidden="1" customWidth="1"/>
    <col min="9" max="12" width="3.28515625" style="12" hidden="1" customWidth="1"/>
    <col min="13" max="15" width="11.7109375" style="12" customWidth="1"/>
    <col min="16" max="16" width="10" style="12" customWidth="1"/>
    <col min="17" max="18" width="11.7109375" style="12" customWidth="1"/>
    <col min="19" max="19" width="10.42578125" style="12" customWidth="1"/>
    <col min="20" max="20" width="12" style="12" customWidth="1"/>
    <col min="21" max="21" width="11.85546875" style="12" customWidth="1"/>
    <col min="22" max="23" width="8.5703125" style="12" customWidth="1"/>
    <col min="24" max="24" width="13.5703125" style="12" customWidth="1"/>
    <col min="25" max="25" width="11.140625" style="1" customWidth="1"/>
    <col min="26" max="26" width="15.42578125" style="1" customWidth="1"/>
    <col min="27" max="27" width="21" style="1" bestFit="1" customWidth="1"/>
    <col min="28" max="28" width="16.42578125" style="1" hidden="1" customWidth="1"/>
    <col min="29" max="29" width="22.140625" style="1" bestFit="1" customWidth="1"/>
    <col min="30" max="30" width="12.85546875" style="1" customWidth="1"/>
    <col min="31" max="31" width="16" style="1" customWidth="1"/>
    <col min="32" max="32" width="12.7109375" style="1" customWidth="1"/>
    <col min="33" max="33" width="18.85546875" style="1" bestFit="1" customWidth="1"/>
    <col min="34" max="34" width="16" style="1" customWidth="1"/>
    <col min="35" max="35" width="36.5703125" style="1" customWidth="1"/>
    <col min="36" max="39" width="8.5703125" style="1"/>
    <col min="40" max="40" width="149.42578125" style="1" customWidth="1"/>
    <col min="41" max="41" width="8.5703125" style="1"/>
    <col min="42" max="42" width="17.140625" style="1" customWidth="1"/>
    <col min="43" max="48" width="20.140625" style="1" customWidth="1"/>
    <col min="49" max="50" width="7.7109375" style="1" customWidth="1"/>
    <col min="51" max="51" width="11.5703125" style="1" customWidth="1"/>
    <col min="52" max="52" width="7.7109375" style="1" customWidth="1"/>
    <col min="53" max="53" width="18.28515625" style="1" customWidth="1"/>
    <col min="54" max="61" width="37.7109375" style="1" customWidth="1"/>
    <col min="62" max="16384" width="8.5703125" style="1"/>
  </cols>
  <sheetData>
    <row r="1" spans="2:48" ht="15" outlineLevel="1">
      <c r="P1" s="12" t="s">
        <v>4305</v>
      </c>
      <c r="Q1" s="12" t="s">
        <v>4338</v>
      </c>
    </row>
    <row r="2" spans="2:48" ht="14.25" customHeight="1" outlineLevel="1">
      <c r="O2" s="361" t="s">
        <v>4307</v>
      </c>
      <c r="P2" s="12">
        <f>Ram_1!$H$28</f>
        <v>0</v>
      </c>
      <c r="Q2" s="425">
        <f>IF(Ram_1!$H$28&gt;0,IF(Ram_1!$H$25&lt;&gt;"",1,2),0)</f>
        <v>0</v>
      </c>
      <c r="S2" s="12">
        <f>IF(P2&gt;0,1,0)</f>
        <v>0</v>
      </c>
      <c r="U2" s="12" t="b">
        <f>IF(M33=3,IF(U8=1,AH69,IF(U8=2,'doprava demont'!AD31,"dostawa niemożliwa")))</f>
        <v>0</v>
      </c>
      <c r="X2" s="12" t="s">
        <v>4342</v>
      </c>
      <c r="Y2" s="1" t="s">
        <v>4337</v>
      </c>
    </row>
    <row r="3" spans="2:48" ht="14.25" customHeight="1" outlineLevel="1">
      <c r="O3" s="361" t="s">
        <v>4308</v>
      </c>
      <c r="P3" s="12">
        <f>Ram_2!$H$28</f>
        <v>0</v>
      </c>
      <c r="Q3" s="425">
        <f>IF(Ram_2!$H$28&gt;0,IF(Ram_2!$H$25&lt;&gt;"",1,2),0)</f>
        <v>0</v>
      </c>
      <c r="S3" s="12">
        <f t="shared" ref="S3:S7" si="0">IF(P3&gt;0,1,0)</f>
        <v>0</v>
      </c>
      <c r="X3" s="12" t="s">
        <v>4346</v>
      </c>
      <c r="Y3" s="1" t="s">
        <v>4343</v>
      </c>
    </row>
    <row r="4" spans="2:48" ht="14.25" customHeight="1" outlineLevel="1">
      <c r="I4" s="1"/>
      <c r="O4" s="361" t="s">
        <v>4309</v>
      </c>
      <c r="P4" s="12">
        <f>Ram_3!$H$28</f>
        <v>0</v>
      </c>
      <c r="Q4" s="425">
        <f>IF(Ram_3!$H$28&gt;0,IF(Ram_3!$H$25&lt;&gt;"",1,2),0)</f>
        <v>0</v>
      </c>
      <c r="S4" s="12">
        <f t="shared" si="0"/>
        <v>0</v>
      </c>
      <c r="X4" s="12" t="s">
        <v>4344</v>
      </c>
      <c r="Y4" s="1" t="s">
        <v>4345</v>
      </c>
    </row>
    <row r="5" spans="2:48" ht="14.25" customHeight="1" outlineLevel="1">
      <c r="I5" s="1"/>
      <c r="O5" s="361" t="s">
        <v>4310</v>
      </c>
      <c r="P5" s="12">
        <f>Ram_4!$H$28</f>
        <v>0</v>
      </c>
      <c r="Q5" s="425">
        <f>IF(Ram_4!$H$28&gt;0,IF(Ram_4!$H$25&lt;&gt;"",1,2),0)</f>
        <v>0</v>
      </c>
      <c r="S5" s="12">
        <f t="shared" si="0"/>
        <v>0</v>
      </c>
      <c r="AA5" s="533"/>
      <c r="AB5" s="533"/>
      <c r="AC5" s="533"/>
      <c r="AD5" s="533"/>
      <c r="AE5" s="533"/>
      <c r="AF5" s="533"/>
    </row>
    <row r="6" spans="2:48" ht="14.25" customHeight="1" outlineLevel="2">
      <c r="O6" s="361" t="s">
        <v>4311</v>
      </c>
      <c r="P6" s="12">
        <f>Ram_5!$H$28</f>
        <v>0</v>
      </c>
      <c r="Q6" s="425">
        <f>IF(Ram_5!$H$28&gt;0,IF(Ram_5!$H$25&lt;&gt;"",1,2),0)</f>
        <v>0</v>
      </c>
      <c r="S6" s="12">
        <f t="shared" si="0"/>
        <v>0</v>
      </c>
    </row>
    <row r="7" spans="2:48" ht="14.25" customHeight="1" outlineLevel="2">
      <c r="C7" s="12"/>
      <c r="D7" s="12"/>
      <c r="E7" s="12"/>
      <c r="F7" s="12"/>
      <c r="G7" s="12"/>
      <c r="H7" s="12"/>
      <c r="O7" s="361" t="s">
        <v>4312</v>
      </c>
      <c r="P7" s="12">
        <f>Ram_6!$H$28</f>
        <v>0</v>
      </c>
      <c r="Q7" s="425">
        <f>IF(Ram_6!$H$28&gt;0,IF(Ram_6!$H$25&lt;&gt;"",1,2),0)</f>
        <v>0</v>
      </c>
      <c r="S7" s="12">
        <f t="shared" si="0"/>
        <v>0</v>
      </c>
      <c r="AA7" s="337"/>
      <c r="AB7" s="337"/>
      <c r="AC7" s="337"/>
      <c r="AD7" s="337"/>
      <c r="AE7" s="337"/>
      <c r="AF7" s="337"/>
    </row>
    <row r="8" spans="2:48" ht="14.25" customHeight="1" outlineLevel="2">
      <c r="I8" s="1"/>
      <c r="J8" s="1"/>
      <c r="K8" s="1"/>
      <c r="L8" s="1"/>
      <c r="M8" s="1"/>
      <c r="N8" s="1"/>
      <c r="Q8" s="425"/>
      <c r="R8" s="1"/>
      <c r="S8" s="12">
        <f>SUM(S2:S7)</f>
        <v>0</v>
      </c>
      <c r="T8" s="1">
        <f>SUM(Q2:Q7)</f>
        <v>0</v>
      </c>
      <c r="U8" s="432">
        <f>IF(S8=T8,1,IF(S8=(T8/2),2,0))</f>
        <v>1</v>
      </c>
      <c r="V8" s="433">
        <v>0</v>
      </c>
      <c r="W8" s="12" t="s">
        <v>4341</v>
      </c>
      <c r="X8" s="1"/>
      <c r="AA8" s="337"/>
      <c r="AB8" s="337"/>
      <c r="AC8" s="337"/>
      <c r="AD8" s="337"/>
      <c r="AE8" s="337"/>
      <c r="AF8" s="337"/>
      <c r="AQ8" s="337"/>
      <c r="AR8" s="337"/>
      <c r="AS8" s="337"/>
      <c r="AT8" s="337"/>
      <c r="AU8" s="337"/>
      <c r="AV8" s="337"/>
    </row>
    <row r="9" spans="2:48" ht="15" customHeight="1" outlineLevel="2">
      <c r="C9" s="573"/>
      <c r="Q9" s="425"/>
      <c r="V9" s="433">
        <v>1</v>
      </c>
      <c r="W9" s="12" t="s">
        <v>4339</v>
      </c>
      <c r="AA9" s="337"/>
      <c r="AB9" s="337"/>
      <c r="AC9" s="337"/>
      <c r="AD9" s="337"/>
      <c r="AE9" s="337"/>
      <c r="AF9" s="337"/>
      <c r="AQ9" s="337"/>
      <c r="AR9" s="337"/>
      <c r="AS9" s="337"/>
      <c r="AT9" s="337"/>
      <c r="AU9" s="337"/>
      <c r="AV9" s="337"/>
    </row>
    <row r="10" spans="2:48" ht="15" customHeight="1" outlineLevel="2">
      <c r="C10" s="573"/>
      <c r="Q10" s="425"/>
      <c r="V10" s="433">
        <v>2</v>
      </c>
      <c r="W10" s="12" t="s">
        <v>4340</v>
      </c>
      <c r="AA10" s="337"/>
      <c r="AB10" s="337"/>
      <c r="AC10" s="337"/>
      <c r="AD10" s="337"/>
      <c r="AE10" s="337"/>
      <c r="AF10" s="337"/>
      <c r="AQ10" s="337"/>
      <c r="AR10" s="337"/>
      <c r="AS10" s="337"/>
      <c r="AT10" s="337"/>
      <c r="AU10" s="337"/>
      <c r="AV10" s="337"/>
    </row>
    <row r="11" spans="2:48" ht="14.25" customHeight="1" outlineLevel="2">
      <c r="C11" s="394"/>
      <c r="Q11" s="425"/>
      <c r="Z11" s="397"/>
      <c r="AA11" s="337"/>
      <c r="AB11" s="337"/>
      <c r="AC11" s="337"/>
      <c r="AD11" s="533"/>
      <c r="AE11" s="533"/>
      <c r="AF11" s="533"/>
      <c r="AQ11" s="337"/>
      <c r="AR11" s="337"/>
      <c r="AS11" s="337"/>
      <c r="AT11" s="337"/>
      <c r="AU11" s="337"/>
      <c r="AV11" s="337"/>
    </row>
    <row r="12" spans="2:48" ht="14.25" customHeight="1" outlineLevel="2">
      <c r="C12" s="394"/>
      <c r="Q12" s="425"/>
      <c r="AQ12" s="337"/>
      <c r="AR12" s="337"/>
      <c r="AS12" s="337"/>
      <c r="AT12" s="337"/>
      <c r="AU12" s="337"/>
      <c r="AV12" s="337"/>
    </row>
    <row r="13" spans="2:48" ht="14.25" customHeight="1" outlineLevel="2">
      <c r="Q13" s="425"/>
      <c r="AQ13" s="337"/>
      <c r="AR13" s="337"/>
      <c r="AS13" s="337"/>
      <c r="AT13" s="337"/>
      <c r="AU13" s="337"/>
      <c r="AV13" s="337"/>
    </row>
    <row r="14" spans="2:48" ht="14.25" customHeight="1" outlineLevel="2">
      <c r="B14" s="503"/>
      <c r="I14" s="1"/>
      <c r="J14" s="1"/>
      <c r="K14" s="1"/>
      <c r="L14" s="1"/>
      <c r="M14" s="1"/>
      <c r="N14" s="1"/>
      <c r="O14" s="1"/>
      <c r="Q14" s="425"/>
      <c r="R14" s="1"/>
      <c r="T14" s="1"/>
      <c r="U14" s="1"/>
      <c r="V14" s="1"/>
      <c r="W14" s="1"/>
      <c r="X14" s="1"/>
      <c r="AQ14" s="337"/>
      <c r="AR14" s="337"/>
      <c r="AS14" s="337"/>
      <c r="AT14" s="337"/>
      <c r="AU14" s="337"/>
      <c r="AV14" s="337"/>
    </row>
    <row r="15" spans="2:48" ht="14.25" customHeight="1" outlineLevel="2">
      <c r="B15" s="503"/>
      <c r="I15" s="1"/>
      <c r="J15" s="1"/>
      <c r="K15" s="1"/>
      <c r="L15" s="1"/>
      <c r="M15" s="1"/>
      <c r="N15" s="1"/>
      <c r="O15" s="1"/>
      <c r="Q15" s="425"/>
      <c r="R15" s="1"/>
      <c r="T15" s="1"/>
      <c r="U15" s="1"/>
      <c r="V15" s="1"/>
      <c r="W15" s="1"/>
      <c r="X15" s="1"/>
      <c r="AQ15" s="337"/>
      <c r="AR15" s="337"/>
      <c r="AS15" s="337"/>
      <c r="AT15" s="337"/>
      <c r="AU15" s="337"/>
      <c r="AV15" s="337"/>
    </row>
    <row r="16" spans="2:48" ht="14.25" customHeight="1" outlineLevel="2">
      <c r="B16" s="394"/>
      <c r="I16" s="1"/>
      <c r="J16" s="1"/>
      <c r="K16" s="1"/>
      <c r="L16" s="1"/>
      <c r="M16" s="1"/>
      <c r="N16" s="1"/>
      <c r="O16" s="1"/>
      <c r="Q16" s="425"/>
      <c r="R16" s="1"/>
      <c r="T16" s="1"/>
      <c r="U16" s="1"/>
      <c r="V16" s="1"/>
      <c r="W16" s="1"/>
      <c r="X16" s="1"/>
      <c r="AQ16" s="337"/>
      <c r="AR16" s="337"/>
      <c r="AS16" s="337"/>
      <c r="AT16" s="337"/>
      <c r="AU16" s="337"/>
      <c r="AV16" s="337"/>
    </row>
    <row r="17" spans="1:59" ht="14.25" customHeight="1" outlineLevel="2">
      <c r="I17" s="1"/>
      <c r="J17" s="1"/>
      <c r="K17" s="1"/>
      <c r="L17" s="1"/>
      <c r="M17" s="1"/>
      <c r="N17" s="1"/>
      <c r="O17" s="1"/>
      <c r="Q17" s="425"/>
      <c r="R17" s="1"/>
      <c r="T17" s="1"/>
      <c r="U17" s="1"/>
      <c r="V17" s="1"/>
      <c r="W17" s="1"/>
      <c r="X17" s="1"/>
      <c r="AQ17" s="337"/>
      <c r="AR17" s="337"/>
      <c r="AT17" s="337"/>
      <c r="AU17" s="337"/>
      <c r="AV17" s="337"/>
    </row>
    <row r="18" spans="1:59" ht="14.25" customHeight="1" outlineLevel="2">
      <c r="C18" s="395"/>
      <c r="I18" s="1"/>
      <c r="J18" s="1"/>
      <c r="K18" s="1"/>
      <c r="L18" s="1"/>
      <c r="M18" s="1"/>
      <c r="N18" s="1"/>
      <c r="O18" s="1"/>
      <c r="Q18" s="425"/>
      <c r="R18" s="1"/>
      <c r="T18" s="1"/>
      <c r="U18" s="1"/>
      <c r="V18" s="1"/>
      <c r="W18" s="1"/>
      <c r="X18" s="1"/>
    </row>
    <row r="19" spans="1:59" ht="14.25" customHeight="1" outlineLevel="2">
      <c r="B19" s="316"/>
      <c r="Q19" s="425"/>
    </row>
    <row r="20" spans="1:59" ht="14.25" customHeight="1" outlineLevel="2">
      <c r="I20" s="1"/>
      <c r="J20" s="1"/>
      <c r="K20" s="1"/>
      <c r="L20" s="1"/>
      <c r="M20" s="1"/>
      <c r="N20" s="1"/>
      <c r="O20" s="1"/>
      <c r="Q20" s="425"/>
      <c r="R20" s="1"/>
      <c r="T20" s="1"/>
      <c r="U20" s="1"/>
      <c r="V20" s="1"/>
      <c r="W20" s="1"/>
      <c r="X20" s="1"/>
      <c r="Z20" s="397"/>
    </row>
    <row r="21" spans="1:59" ht="14.25" customHeight="1" outlineLevel="2">
      <c r="I21" s="1"/>
      <c r="J21" s="1"/>
      <c r="K21" s="1"/>
      <c r="L21" s="1"/>
      <c r="M21" s="1"/>
      <c r="N21" s="1"/>
      <c r="O21" s="1"/>
      <c r="Q21" s="425"/>
      <c r="R21" s="1"/>
      <c r="T21" s="1"/>
      <c r="U21" s="1"/>
      <c r="V21" s="1"/>
      <c r="W21" s="1"/>
      <c r="X21" s="1"/>
    </row>
    <row r="22" spans="1:59" ht="14.25" customHeight="1" outlineLevel="2">
      <c r="Q22" s="425"/>
    </row>
    <row r="23" spans="1:59" ht="14.25" customHeight="1" outlineLevel="2">
      <c r="I23" s="1"/>
      <c r="J23" s="1"/>
      <c r="K23" s="1"/>
      <c r="L23" s="1"/>
      <c r="M23" s="1"/>
      <c r="N23" s="1"/>
      <c r="O23" s="1"/>
      <c r="Q23" s="425"/>
      <c r="R23" s="1"/>
      <c r="T23" s="1"/>
      <c r="U23" s="1"/>
      <c r="V23" s="1"/>
      <c r="W23" s="1"/>
      <c r="X23" s="1"/>
    </row>
    <row r="24" spans="1:59" ht="14.25" customHeight="1" outlineLevel="2">
      <c r="I24" s="1"/>
      <c r="J24" s="1"/>
      <c r="K24" s="1"/>
      <c r="L24" s="1"/>
      <c r="M24" s="1"/>
      <c r="N24" s="1"/>
      <c r="O24" s="1"/>
      <c r="Q24" s="425"/>
      <c r="R24" s="1"/>
      <c r="T24" s="1"/>
      <c r="U24" s="1"/>
      <c r="V24" s="1"/>
      <c r="W24" s="1"/>
      <c r="X24" s="1"/>
      <c r="AA24" s="398"/>
    </row>
    <row r="25" spans="1:59" ht="14.25" customHeight="1" outlineLevel="2">
      <c r="I25" s="1"/>
      <c r="J25" s="1"/>
      <c r="K25" s="1"/>
      <c r="L25" s="1"/>
      <c r="M25" s="1"/>
      <c r="N25" s="1"/>
      <c r="O25" s="1"/>
      <c r="Q25" s="425"/>
      <c r="R25" s="1"/>
      <c r="T25" s="1"/>
      <c r="U25" s="1"/>
      <c r="V25" s="1"/>
      <c r="W25" s="1"/>
      <c r="X25" s="1"/>
      <c r="AA25" s="398"/>
    </row>
    <row r="26" spans="1:59" ht="14.25" customHeight="1" outlineLevel="2">
      <c r="I26" s="1"/>
      <c r="J26" s="1"/>
      <c r="K26" s="1"/>
      <c r="L26" s="1"/>
      <c r="M26" s="1"/>
      <c r="N26" s="1"/>
      <c r="O26" s="1"/>
      <c r="Q26" s="425"/>
      <c r="R26" s="1"/>
      <c r="T26" s="1"/>
      <c r="U26" s="1"/>
      <c r="V26" s="1"/>
      <c r="W26" s="1"/>
      <c r="X26" s="1"/>
      <c r="AA26" s="398"/>
    </row>
    <row r="27" spans="1:59" ht="39.75" customHeight="1" outlineLevel="2">
      <c r="I27" s="1"/>
      <c r="J27" s="1"/>
      <c r="K27" s="1"/>
      <c r="L27" s="1"/>
      <c r="M27" s="1"/>
      <c r="N27" s="1"/>
      <c r="O27" s="1"/>
      <c r="Q27" s="425"/>
      <c r="R27" s="1"/>
      <c r="T27" s="1"/>
      <c r="U27" s="1"/>
      <c r="V27" s="1"/>
      <c r="W27" s="1"/>
      <c r="X27" s="1"/>
    </row>
    <row r="28" spans="1:59" ht="45.75" customHeight="1" outlineLevel="1">
      <c r="I28" s="1"/>
      <c r="J28" s="1"/>
      <c r="K28" s="1"/>
      <c r="L28" s="1"/>
      <c r="M28" s="1"/>
      <c r="N28" s="1"/>
      <c r="O28" s="1"/>
      <c r="Q28" s="425"/>
      <c r="R28" s="1"/>
      <c r="T28" s="1"/>
      <c r="U28" s="1"/>
      <c r="V28" s="1"/>
      <c r="W28" s="1">
        <v>70</v>
      </c>
      <c r="X28" s="1"/>
    </row>
    <row r="29" spans="1:59" ht="37.5" customHeight="1">
      <c r="E29" s="386"/>
      <c r="F29" s="386"/>
      <c r="G29" s="386"/>
      <c r="H29" s="387"/>
      <c r="I29" s="387"/>
      <c r="J29" s="387"/>
      <c r="K29" s="1"/>
      <c r="L29" s="1"/>
      <c r="M29" s="1"/>
      <c r="N29" s="1"/>
      <c r="O29" s="1"/>
      <c r="Q29" s="425"/>
      <c r="R29" s="1"/>
      <c r="T29" s="1"/>
      <c r="U29" s="1"/>
      <c r="AQ29" s="386"/>
      <c r="AR29" s="386"/>
      <c r="AS29" s="386"/>
      <c r="AT29" s="387"/>
      <c r="AU29" s="387"/>
      <c r="AV29" s="387"/>
      <c r="BB29" s="386"/>
      <c r="BC29" s="386"/>
      <c r="BD29" s="386"/>
      <c r="BE29" s="387"/>
      <c r="BF29" s="387"/>
      <c r="BG29" s="387"/>
    </row>
    <row r="30" spans="1:59" ht="22.5" customHeight="1">
      <c r="B30" s="238"/>
      <c r="E30" s="337"/>
      <c r="F30" s="337"/>
      <c r="G30" s="337"/>
      <c r="H30" s="337"/>
      <c r="I30" s="337"/>
      <c r="J30" s="337"/>
      <c r="AQ30" s="337"/>
      <c r="AR30" s="337"/>
      <c r="AS30" s="337"/>
      <c r="AT30" s="337"/>
      <c r="AU30" s="337"/>
      <c r="AV30" s="337"/>
      <c r="AY30" s="337"/>
      <c r="BB30" s="337"/>
      <c r="BC30" s="337"/>
      <c r="BD30" s="337"/>
      <c r="BE30" s="337"/>
      <c r="BF30" s="337"/>
      <c r="BG30" s="337"/>
    </row>
    <row r="31" spans="1:59" ht="19.5" customHeight="1" thickBot="1">
      <c r="A31" s="396"/>
      <c r="B31" s="160"/>
      <c r="D31" s="337"/>
      <c r="E31" s="389"/>
      <c r="F31" s="389"/>
      <c r="G31" s="389"/>
      <c r="H31" s="389"/>
      <c r="I31" s="389"/>
      <c r="J31" s="389"/>
      <c r="V31" s="388"/>
      <c r="W31" s="388"/>
      <c r="X31" s="388"/>
      <c r="Y31" s="388"/>
      <c r="Z31" s="388"/>
      <c r="AP31" s="337"/>
      <c r="AQ31" s="389"/>
      <c r="AR31" s="389"/>
      <c r="AS31" s="389"/>
      <c r="AT31" s="389"/>
      <c r="AU31" s="389"/>
      <c r="AV31" s="389"/>
      <c r="BA31" s="337"/>
      <c r="BB31" s="389"/>
      <c r="BC31" s="389"/>
      <c r="BD31" s="389"/>
      <c r="BE31" s="389"/>
      <c r="BF31" s="389"/>
      <c r="BG31" s="389"/>
    </row>
    <row r="32" spans="1:59" ht="18.75" customHeight="1" thickBot="1">
      <c r="A32" s="396"/>
      <c r="B32" s="160"/>
      <c r="D32" s="337"/>
      <c r="E32" s="390"/>
      <c r="F32" s="390"/>
      <c r="G32" s="390"/>
      <c r="H32" s="390"/>
      <c r="I32" s="390"/>
      <c r="J32" s="390"/>
      <c r="M32" s="338"/>
      <c r="N32" s="339"/>
      <c r="O32" s="339"/>
      <c r="P32" s="339"/>
      <c r="Q32" s="339"/>
      <c r="R32" s="339"/>
      <c r="S32" s="339"/>
      <c r="T32" s="339"/>
      <c r="U32" s="339"/>
      <c r="V32" s="339"/>
      <c r="W32" s="339"/>
      <c r="X32" s="340"/>
      <c r="Y32" s="340"/>
      <c r="Z32" s="409" t="s">
        <v>4292</v>
      </c>
      <c r="AA32" s="410">
        <v>800</v>
      </c>
      <c r="AB32" s="410"/>
      <c r="AC32" s="410">
        <v>1400</v>
      </c>
      <c r="AD32" s="410">
        <v>2300</v>
      </c>
      <c r="AE32" s="410">
        <v>2750</v>
      </c>
      <c r="AF32" s="400"/>
      <c r="AG32" s="340"/>
      <c r="AH32" s="340"/>
      <c r="AI32" s="340"/>
      <c r="AJ32" s="341"/>
      <c r="AP32" s="337"/>
      <c r="AQ32" s="390"/>
      <c r="AR32" s="390"/>
      <c r="AS32" s="390"/>
      <c r="AT32" s="390"/>
      <c r="AU32" s="390"/>
      <c r="AV32" s="390"/>
      <c r="AY32" s="160"/>
      <c r="BA32" s="337"/>
      <c r="BB32" s="390"/>
      <c r="BC32" s="390"/>
      <c r="BD32" s="390"/>
      <c r="BE32" s="390"/>
      <c r="BF32" s="390"/>
      <c r="BG32" s="390"/>
    </row>
    <row r="33" spans="2:59" ht="22.5" customHeight="1" thickBot="1">
      <c r="B33" s="337"/>
      <c r="D33" s="337"/>
      <c r="E33" s="337"/>
      <c r="F33" s="337"/>
      <c r="G33" s="337"/>
      <c r="H33" s="337"/>
      <c r="I33" s="337"/>
      <c r="J33" s="337"/>
      <c r="M33" s="408">
        <f>IF(Zakaznik!K23="Dostawa na adres",Hlavní!V39,0)</f>
        <v>0</v>
      </c>
      <c r="N33" s="411" t="str">
        <f>IF(M33=3,"Určeno pro polský trh =&gt; počítá se kalkulace dopravy","Není to určeno pro polský trh =&gt; NEpočítá se kalkulace dopravy" )</f>
        <v>Není to určeno pro polský trh =&gt; NEpočítá se kalkulace dopravy</v>
      </c>
      <c r="O33" s="399"/>
      <c r="P33" s="399"/>
      <c r="Q33" s="399"/>
      <c r="R33" s="399"/>
      <c r="S33" s="399"/>
      <c r="T33" s="399"/>
      <c r="U33" s="399"/>
      <c r="V33" s="399"/>
      <c r="W33" s="399"/>
      <c r="X33" s="400"/>
      <c r="Y33" s="400"/>
      <c r="Z33" s="409" t="s">
        <v>4292</v>
      </c>
      <c r="AA33" s="410">
        <v>800</v>
      </c>
      <c r="AB33" s="410"/>
      <c r="AC33" s="410">
        <v>800</v>
      </c>
      <c r="AD33" s="547">
        <v>750</v>
      </c>
      <c r="AE33" s="788"/>
      <c r="AF33" s="400"/>
      <c r="AG33" s="400"/>
      <c r="AH33" s="400"/>
      <c r="AI33" s="400"/>
      <c r="AJ33" s="343"/>
      <c r="AP33" s="337"/>
      <c r="AQ33" s="337"/>
      <c r="AR33" s="337"/>
      <c r="AS33" s="337"/>
      <c r="AT33" s="337"/>
      <c r="AU33" s="337"/>
      <c r="AV33" s="337"/>
      <c r="BA33" s="337"/>
      <c r="BB33" s="337"/>
      <c r="BC33" s="337"/>
      <c r="BD33" s="337"/>
      <c r="BE33" s="337"/>
      <c r="BF33" s="337"/>
      <c r="BG33" s="337"/>
    </row>
    <row r="34" spans="2:59" ht="14.85" customHeight="1" thickBot="1">
      <c r="D34" s="337"/>
      <c r="E34" s="337"/>
      <c r="F34" s="337"/>
      <c r="G34" s="337"/>
      <c r="H34" s="337"/>
      <c r="I34" s="337"/>
      <c r="J34" s="337"/>
      <c r="M34" s="342"/>
      <c r="N34" s="399"/>
      <c r="O34" s="399"/>
      <c r="P34" s="399"/>
      <c r="Q34" s="399"/>
      <c r="R34" s="399"/>
      <c r="S34" s="399"/>
      <c r="T34" s="399"/>
      <c r="U34" s="399"/>
      <c r="V34" s="399"/>
      <c r="W34" s="399"/>
      <c r="X34" s="400"/>
      <c r="Y34" s="400"/>
      <c r="Z34" s="400"/>
      <c r="AA34" s="400"/>
      <c r="AB34" s="400"/>
      <c r="AC34" s="400"/>
      <c r="AD34" s="400"/>
      <c r="AE34" s="400"/>
      <c r="AF34" s="400"/>
      <c r="AG34" s="400"/>
      <c r="AH34" s="400"/>
      <c r="AI34" s="400"/>
      <c r="AJ34" s="343"/>
      <c r="AP34" s="337"/>
      <c r="AQ34" s="337"/>
      <c r="AR34" s="337"/>
      <c r="AS34" s="337"/>
      <c r="AT34" s="337"/>
      <c r="AU34" s="337"/>
      <c r="AV34" s="337"/>
      <c r="BA34" s="337"/>
      <c r="BB34" s="337"/>
      <c r="BC34" s="337"/>
      <c r="BD34" s="337"/>
      <c r="BE34" s="337"/>
      <c r="BF34" s="337"/>
      <c r="BG34" s="337"/>
    </row>
    <row r="35" spans="2:59" ht="14.85" customHeight="1">
      <c r="D35" s="337"/>
      <c r="E35" s="389"/>
      <c r="F35" s="389"/>
      <c r="G35" s="389"/>
      <c r="H35" s="337"/>
      <c r="I35" s="337"/>
      <c r="J35" s="337"/>
      <c r="M35" s="342"/>
      <c r="N35" s="399"/>
      <c r="O35" s="399"/>
      <c r="P35" s="399"/>
      <c r="Q35" s="399"/>
      <c r="R35" s="399"/>
      <c r="S35" s="399"/>
      <c r="T35" s="399"/>
      <c r="U35" s="399"/>
      <c r="V35" s="399"/>
      <c r="W35" s="400"/>
      <c r="X35" s="399"/>
      <c r="Y35" s="400"/>
      <c r="Z35" s="344" t="s">
        <v>4293</v>
      </c>
      <c r="AA35" s="400"/>
      <c r="AB35" s="400"/>
      <c r="AC35" s="400"/>
      <c r="AD35" s="400"/>
      <c r="AE35" s="400"/>
      <c r="AF35" s="400"/>
      <c r="AG35" s="400"/>
      <c r="AH35" s="400"/>
      <c r="AI35" s="400"/>
      <c r="AJ35" s="343"/>
      <c r="AP35" s="337"/>
      <c r="AQ35" s="389"/>
      <c r="AR35" s="389"/>
      <c r="AS35" s="389"/>
      <c r="AT35" s="337"/>
      <c r="AU35" s="337"/>
      <c r="AV35" s="337"/>
      <c r="AY35" s="391"/>
      <c r="BA35" s="337"/>
      <c r="BB35" s="389"/>
      <c r="BC35" s="389"/>
      <c r="BD35" s="389"/>
      <c r="BE35" s="337"/>
      <c r="BF35" s="337"/>
      <c r="BG35" s="337"/>
    </row>
    <row r="36" spans="2:59" ht="30.75" customHeight="1" thickBot="1">
      <c r="D36" s="337"/>
      <c r="E36" s="390"/>
      <c r="F36" s="390"/>
      <c r="G36" s="390"/>
      <c r="H36" s="390"/>
      <c r="I36" s="390"/>
      <c r="J36" s="390"/>
      <c r="M36" s="342"/>
      <c r="N36" s="399"/>
      <c r="O36" s="399"/>
      <c r="P36" s="399"/>
      <c r="Q36" s="399"/>
      <c r="R36" s="399"/>
      <c r="S36" s="399"/>
      <c r="T36" s="399"/>
      <c r="U36" s="399"/>
      <c r="V36" s="399"/>
      <c r="W36" s="399"/>
      <c r="X36" s="399"/>
      <c r="Y36" s="400"/>
      <c r="Z36" s="345">
        <f>W40</f>
        <v>0</v>
      </c>
      <c r="AA36" s="400"/>
      <c r="AB36" s="400"/>
      <c r="AC36" s="400"/>
      <c r="AD36" s="400"/>
      <c r="AE36" s="400"/>
      <c r="AF36" s="400"/>
      <c r="AG36" s="400"/>
      <c r="AH36" s="400"/>
      <c r="AI36" s="400"/>
      <c r="AJ36" s="343"/>
      <c r="AP36" s="337"/>
      <c r="AQ36" s="390"/>
      <c r="AR36" s="390"/>
      <c r="AS36" s="390"/>
      <c r="AT36" s="390"/>
      <c r="AU36" s="390"/>
      <c r="AV36" s="390"/>
      <c r="AY36" s="391"/>
      <c r="BA36" s="337"/>
      <c r="BB36" s="390"/>
      <c r="BC36" s="390"/>
      <c r="BD36" s="390"/>
      <c r="BE36" s="390"/>
      <c r="BF36" s="390"/>
      <c r="BG36" s="390"/>
    </row>
    <row r="37" spans="2:59" ht="14.85" customHeight="1">
      <c r="E37" s="337"/>
      <c r="F37" s="337"/>
      <c r="G37" s="337"/>
      <c r="H37" s="390"/>
      <c r="I37" s="390"/>
      <c r="J37" s="390"/>
      <c r="M37" s="342"/>
      <c r="N37" s="399"/>
      <c r="O37" s="399"/>
      <c r="P37" s="399"/>
      <c r="Q37" s="399"/>
      <c r="R37" s="399"/>
      <c r="S37" s="399"/>
      <c r="T37" s="399"/>
      <c r="U37" s="399"/>
      <c r="V37" s="399"/>
      <c r="W37" s="399"/>
      <c r="X37" s="399"/>
      <c r="Y37" s="400"/>
      <c r="Z37" s="400"/>
      <c r="AA37" s="401"/>
      <c r="AB37" s="401"/>
      <c r="AC37" s="401"/>
      <c r="AD37" s="401"/>
      <c r="AE37" s="401"/>
      <c r="AF37" s="401"/>
      <c r="AG37" s="400"/>
      <c r="AH37" s="400"/>
      <c r="AI37" s="400"/>
      <c r="AJ37" s="343"/>
      <c r="AQ37" s="337"/>
      <c r="AR37" s="337"/>
      <c r="AS37" s="337"/>
      <c r="AT37" s="390"/>
      <c r="AU37" s="390"/>
      <c r="AV37" s="390"/>
      <c r="BB37" s="337"/>
      <c r="BC37" s="337"/>
      <c r="BD37" s="337"/>
      <c r="BE37" s="390"/>
      <c r="BF37" s="390"/>
      <c r="BG37" s="390"/>
    </row>
    <row r="38" spans="2:59" ht="14.85" customHeight="1">
      <c r="D38" s="337"/>
      <c r="E38" s="337"/>
      <c r="F38" s="337"/>
      <c r="G38" s="337"/>
      <c r="H38" s="337"/>
      <c r="I38" s="337"/>
      <c r="J38" s="337"/>
      <c r="M38" s="342"/>
      <c r="N38" s="399"/>
      <c r="O38" s="399"/>
      <c r="P38" s="399"/>
      <c r="Q38" s="399"/>
      <c r="R38" s="399"/>
      <c r="S38" s="399"/>
      <c r="T38" s="399"/>
      <c r="U38" s="399"/>
      <c r="V38" s="399"/>
      <c r="W38" s="400"/>
      <c r="X38" s="399"/>
      <c r="Y38" s="400"/>
      <c r="Z38" s="409" t="s">
        <v>4294</v>
      </c>
      <c r="AA38" s="410">
        <v>35</v>
      </c>
      <c r="AB38" s="410"/>
      <c r="AC38" s="410">
        <v>35</v>
      </c>
      <c r="AD38" s="410">
        <v>288</v>
      </c>
      <c r="AE38" s="410">
        <v>332</v>
      </c>
      <c r="AF38" s="410"/>
      <c r="AG38" s="400"/>
      <c r="AH38" s="400"/>
      <c r="AI38" s="400"/>
      <c r="AJ38" s="343"/>
      <c r="AP38" s="337"/>
      <c r="AQ38" s="337"/>
      <c r="AR38" s="337"/>
      <c r="AS38" s="337"/>
      <c r="AT38" s="337"/>
      <c r="AU38" s="337"/>
      <c r="AV38" s="337"/>
      <c r="BA38" s="337"/>
      <c r="BB38" s="337"/>
      <c r="BC38" s="337"/>
      <c r="BD38" s="337"/>
      <c r="BE38" s="337"/>
      <c r="BF38" s="337"/>
      <c r="BG38" s="337"/>
    </row>
    <row r="39" spans="2:59" ht="18.75">
      <c r="D39" s="337"/>
      <c r="E39" s="392"/>
      <c r="F39" s="392"/>
      <c r="G39" s="392"/>
      <c r="H39" s="392"/>
      <c r="I39" s="392"/>
      <c r="J39" s="392"/>
      <c r="M39" s="342"/>
      <c r="N39" s="399"/>
      <c r="O39" s="399"/>
      <c r="P39" s="399"/>
      <c r="Q39" s="399"/>
      <c r="R39" s="399"/>
      <c r="S39" s="399"/>
      <c r="T39" s="399"/>
      <c r="U39" s="399"/>
      <c r="V39" s="399"/>
      <c r="W39" s="346">
        <f>W40-20</f>
        <v>-20</v>
      </c>
      <c r="X39" s="347" t="str">
        <f>IF(W39&gt;0,"přebývá!","")</f>
        <v/>
      </c>
      <c r="Y39" s="400"/>
      <c r="Z39" s="348"/>
      <c r="AA39" s="349" t="s">
        <v>4295</v>
      </c>
      <c r="AB39" s="349"/>
      <c r="AC39" s="349" t="s">
        <v>4296</v>
      </c>
      <c r="AD39" s="350" t="s">
        <v>4297</v>
      </c>
      <c r="AE39" s="350" t="s">
        <v>4298</v>
      </c>
      <c r="AF39" s="351"/>
      <c r="AG39" s="400"/>
      <c r="AH39" s="400"/>
      <c r="AI39" s="400"/>
      <c r="AJ39" s="343"/>
      <c r="AP39" s="337"/>
      <c r="AQ39" s="392"/>
      <c r="AR39" s="392"/>
      <c r="AS39" s="392"/>
      <c r="AT39" s="392"/>
      <c r="AU39" s="392"/>
      <c r="AV39" s="392"/>
      <c r="BA39" s="337"/>
      <c r="BB39" s="392"/>
      <c r="BC39" s="392"/>
      <c r="BD39" s="392"/>
      <c r="BE39" s="392"/>
      <c r="BF39" s="392"/>
      <c r="BG39" s="392"/>
    </row>
    <row r="40" spans="2:59" ht="31.5" customHeight="1">
      <c r="D40" s="337"/>
      <c r="E40" s="337"/>
      <c r="F40" s="337"/>
      <c r="G40" s="337"/>
      <c r="H40" s="337"/>
      <c r="I40" s="337"/>
      <c r="J40" s="337"/>
      <c r="M40" s="342"/>
      <c r="N40" s="399"/>
      <c r="O40" s="399"/>
      <c r="P40" s="399"/>
      <c r="Q40" s="399"/>
      <c r="R40" s="399"/>
      <c r="S40" s="399"/>
      <c r="T40" s="399"/>
      <c r="U40" s="399"/>
      <c r="V40" s="399"/>
      <c r="W40" s="352">
        <f>SUM(W42:W47)</f>
        <v>0</v>
      </c>
      <c r="X40" s="346" t="s">
        <v>4299</v>
      </c>
      <c r="Y40" s="400"/>
      <c r="Z40" s="353" t="s">
        <v>4300</v>
      </c>
      <c r="AA40" s="354">
        <v>3</v>
      </c>
      <c r="AB40" s="354"/>
      <c r="AC40" s="354">
        <v>2</v>
      </c>
      <c r="AD40" s="354">
        <v>20</v>
      </c>
      <c r="AE40" s="354">
        <v>20</v>
      </c>
      <c r="AF40" s="355"/>
      <c r="AG40" s="400"/>
      <c r="AH40" s="400"/>
      <c r="AI40" s="400"/>
      <c r="AJ40" s="343"/>
      <c r="AP40" s="337"/>
      <c r="AQ40" s="337"/>
      <c r="AR40" s="337"/>
      <c r="AS40" s="337"/>
      <c r="AT40" s="337"/>
      <c r="AU40" s="337"/>
      <c r="AV40" s="337"/>
      <c r="BA40" s="337"/>
      <c r="BB40" s="337"/>
      <c r="BC40" s="337"/>
      <c r="BD40" s="337"/>
      <c r="BE40" s="337"/>
      <c r="BF40" s="337"/>
      <c r="BG40" s="337"/>
    </row>
    <row r="41" spans="2:59" ht="45">
      <c r="E41" s="337"/>
      <c r="F41" s="337"/>
      <c r="G41" s="337"/>
      <c r="H41" s="337"/>
      <c r="I41" s="337"/>
      <c r="J41" s="337"/>
      <c r="M41" s="342" t="s">
        <v>4301</v>
      </c>
      <c r="N41" s="399"/>
      <c r="O41" s="399"/>
      <c r="P41" s="399"/>
      <c r="Q41" s="399"/>
      <c r="R41" s="399"/>
      <c r="S41" s="412" t="s">
        <v>4302</v>
      </c>
      <c r="T41" s="412" t="s">
        <v>4303</v>
      </c>
      <c r="U41" s="402" t="s">
        <v>4304</v>
      </c>
      <c r="V41" s="399"/>
      <c r="W41" s="352" t="s">
        <v>4305</v>
      </c>
      <c r="X41" s="356" t="s">
        <v>4306</v>
      </c>
      <c r="Y41" s="357" t="s">
        <v>4306</v>
      </c>
      <c r="Z41" s="358"/>
      <c r="AA41" s="359"/>
      <c r="AB41" s="359"/>
      <c r="AC41" s="359"/>
      <c r="AD41" s="359"/>
      <c r="AE41" s="359"/>
      <c r="AF41" s="360"/>
      <c r="AG41" s="400"/>
      <c r="AH41" s="400"/>
      <c r="AI41" s="400"/>
      <c r="AJ41" s="343"/>
      <c r="AL41" s="1">
        <f>SUMIFS(W42:W47,V42:V47,"paleta")</f>
        <v>0</v>
      </c>
      <c r="AQ41" s="337"/>
      <c r="AR41" s="337"/>
      <c r="AS41" s="337"/>
      <c r="AT41" s="337"/>
      <c r="AU41" s="337"/>
      <c r="AV41" s="337"/>
      <c r="BB41" s="337"/>
      <c r="BC41" s="337"/>
      <c r="BD41" s="337"/>
      <c r="BE41" s="337"/>
      <c r="BF41" s="337"/>
      <c r="BG41" s="337"/>
    </row>
    <row r="42" spans="2:59" ht="18.75">
      <c r="E42" s="337"/>
      <c r="F42" s="337"/>
      <c r="G42" s="337"/>
      <c r="H42" s="337"/>
      <c r="I42" s="337"/>
      <c r="J42" s="337"/>
      <c r="M42" s="361" t="s">
        <v>4307</v>
      </c>
      <c r="N42" s="362" t="str">
        <f>IF(AND(IF($T42&lt;=AA$33,"balík A","ne")="balík A",IF($S42&lt;=AA$32,"balík A","ne")="balík A",$AA$39="balík A"),"balík A","ne")</f>
        <v>balík A</v>
      </c>
      <c r="O42" s="362" t="str">
        <f>IF(AND(IF($T42&lt;=AC$33,"balík B","ne")="balík B",IF($S42&lt;=AC$32,"balík B","ne")="balík B",$AC$39="balík B"),"balík B","ne")</f>
        <v>balík B</v>
      </c>
      <c r="P42" s="362" t="str">
        <f>IF(AND(T42&lt;=$AD$33,$S42&lt;=AD$32),"paleta A","ne")</f>
        <v>paleta A</v>
      </c>
      <c r="Q42" s="362" t="str">
        <f>IF(AND(T42&lt;=$AD$33,$S42&lt;=AE$32),"paleta B","ne")</f>
        <v>paleta B</v>
      </c>
      <c r="R42" s="362"/>
      <c r="S42" s="352">
        <f>MAX(X42:Y42)</f>
        <v>0</v>
      </c>
      <c r="T42" s="352">
        <f>MIN(X42:Y42)</f>
        <v>0</v>
      </c>
      <c r="U42" s="363" t="str">
        <f t="shared" ref="U42:U47" si="1">IF(N42&lt;&gt;"ne",N42,IF(O42&lt;&gt;"NE",O42,IF(P42&lt;&gt;"NE",P42,IF(Q42&lt;&gt;"NE",Q42,"ne"))))</f>
        <v>balík A</v>
      </c>
      <c r="V42" s="364" t="str">
        <f>_xlfn.TEXTBEFORE(U42," ")</f>
        <v>balík</v>
      </c>
      <c r="W42" s="365">
        <f>Ram_1!$H$28</f>
        <v>0</v>
      </c>
      <c r="X42" s="366">
        <f>Ram_1!AI30</f>
        <v>0</v>
      </c>
      <c r="Y42" s="367">
        <f>Ram_1!AR14</f>
        <v>0</v>
      </c>
      <c r="Z42" s="368" t="s">
        <v>4307</v>
      </c>
      <c r="AA42" s="354">
        <f>IF(M33&lt;&gt;3,0,IFERROR((IF(HLOOKUP(AA$39,$N42:$Q42,1,0)=AA$39,$W42,0)),0))</f>
        <v>0</v>
      </c>
      <c r="AB42" s="354">
        <f>IFERROR((IF(HLOOKUP(AB$39,$N42:$R42,1,0)=AB$39,$W42,0)),0)</f>
        <v>0</v>
      </c>
      <c r="AC42" s="354">
        <f>IF(M33&lt;&gt;3,0,IFERROR((IF(HLOOKUP(AC$39,$N42:$Q42,1,0)=AC$39,W42,0)),0))</f>
        <v>0</v>
      </c>
      <c r="AD42" s="354">
        <f>IF(M33&lt;&gt;3,0,IFERROR((IF(HLOOKUP(AD$39,$N42:$Q42,1,0)=AD$39,W42,0)),0))</f>
        <v>0</v>
      </c>
      <c r="AE42" s="354">
        <f>IF(M33&lt;&gt;3,0,IFERROR((IF(HLOOKUP(AE$39,$N42:$Q42,1,0)=AE$39,W42,0)),0))</f>
        <v>0</v>
      </c>
      <c r="AF42" s="355"/>
      <c r="AG42" s="400"/>
      <c r="AH42" s="400"/>
      <c r="AI42" s="400"/>
      <c r="AJ42" s="343"/>
      <c r="AQ42" s="337"/>
      <c r="AR42" s="337"/>
      <c r="AS42" s="337"/>
      <c r="AT42" s="337"/>
      <c r="AU42" s="337"/>
      <c r="AV42" s="337"/>
      <c r="BB42" s="337"/>
      <c r="BC42" s="337"/>
      <c r="BD42" s="337"/>
      <c r="BE42" s="337"/>
      <c r="BF42" s="337"/>
      <c r="BG42" s="337"/>
    </row>
    <row r="43" spans="2:59" ht="18.75">
      <c r="E43" s="337"/>
      <c r="F43" s="337"/>
      <c r="G43" s="337"/>
      <c r="H43" s="337"/>
      <c r="I43" s="337"/>
      <c r="J43" s="337"/>
      <c r="M43" s="361" t="s">
        <v>4308</v>
      </c>
      <c r="N43" s="362" t="str">
        <f t="shared" ref="N43:N46" si="2">IF(AND(IF($T43&lt;=AA$33,"balík A","ne")="balík A",IF($S43&lt;=AA$32,"balík A","ne")="balík A",$AA$39="balík A"),"balík A","ne")</f>
        <v>balík A</v>
      </c>
      <c r="O43" s="362" t="str">
        <f t="shared" ref="O43:O47" si="3">IF(AND(IF($T43&lt;=AC$33,"balík B","ne")="balík B",IF($S43&lt;=AC$32,"balík B","ne")="balík B",$AC$39="balík B"),"balík B","ne")</f>
        <v>balík B</v>
      </c>
      <c r="P43" s="362" t="str">
        <f t="shared" ref="P43:P47" si="4">IF(AND(T43&lt;=$AD$33,$S43&lt;=AD$32),"paleta A","ne")</f>
        <v>paleta A</v>
      </c>
      <c r="Q43" s="362" t="str">
        <f t="shared" ref="Q43:Q47" si="5">IF(AND(T43&lt;=$AD$33,$S43&lt;=AE$32),"paleta B","ne")</f>
        <v>paleta B</v>
      </c>
      <c r="R43" s="362"/>
      <c r="S43" s="352">
        <f>MAX(X43:Y43)</f>
        <v>0</v>
      </c>
      <c r="T43" s="352">
        <f t="shared" ref="T43:T46" si="6">MIN(X43:Y43)</f>
        <v>0</v>
      </c>
      <c r="U43" s="363" t="str">
        <f t="shared" si="1"/>
        <v>balík A</v>
      </c>
      <c r="V43" s="364" t="str">
        <f t="shared" ref="V43:V47" si="7">_xlfn.TEXTBEFORE(U43," ")</f>
        <v>balík</v>
      </c>
      <c r="W43" s="365">
        <f>Ram_2!$H$28</f>
        <v>0</v>
      </c>
      <c r="X43" s="366">
        <f>Ram_2!AI30</f>
        <v>0</v>
      </c>
      <c r="Y43" s="367">
        <f>Ram_2!AR14</f>
        <v>0</v>
      </c>
      <c r="Z43" s="368" t="s">
        <v>4308</v>
      </c>
      <c r="AA43" s="354">
        <f>IF(M33&lt;&gt;3,0,IFERROR((IF(HLOOKUP(AA$39,$N43:$Q43,1,0)=AA$39,$W43,0)),0))</f>
        <v>0</v>
      </c>
      <c r="AB43" s="354"/>
      <c r="AC43" s="354">
        <f>IF(M33&lt;&gt;3,0,IFERROR((IF(HLOOKUP(AC$39,$N43:$Q43,1,0)=AC$39,W43,0)),0))</f>
        <v>0</v>
      </c>
      <c r="AD43" s="354">
        <f>IF(M33&lt;&gt;3,0,IFERROR((IF(HLOOKUP(AD$39,$N43:$Q43,1,0)=AD$39,W43,0)),0))</f>
        <v>0</v>
      </c>
      <c r="AE43" s="354">
        <f>IF(M33&lt;&gt;3,0,IFERROR((IF(HLOOKUP(AE$39,$N43:$Q43,1,0)=AE$39,W43,0)),0))</f>
        <v>0</v>
      </c>
      <c r="AF43" s="355"/>
      <c r="AG43" s="400"/>
      <c r="AH43" s="400"/>
      <c r="AI43" s="400"/>
      <c r="AJ43" s="343"/>
      <c r="AR43" s="337"/>
      <c r="AS43" s="337"/>
      <c r="AT43" s="337"/>
      <c r="AU43" s="337"/>
      <c r="BB43" s="337"/>
      <c r="BC43" s="337"/>
      <c r="BD43" s="337"/>
      <c r="BE43" s="337"/>
      <c r="BF43" s="337"/>
      <c r="BG43" s="337"/>
    </row>
    <row r="44" spans="2:59" ht="18.75">
      <c r="E44" s="337"/>
      <c r="F44" s="337"/>
      <c r="G44" s="337"/>
      <c r="H44" s="337"/>
      <c r="I44" s="337"/>
      <c r="J44" s="337"/>
      <c r="M44" s="361" t="s">
        <v>4309</v>
      </c>
      <c r="N44" s="362" t="str">
        <f t="shared" si="2"/>
        <v>balík A</v>
      </c>
      <c r="O44" s="362" t="str">
        <f t="shared" si="3"/>
        <v>balík B</v>
      </c>
      <c r="P44" s="362" t="str">
        <f t="shared" si="4"/>
        <v>paleta A</v>
      </c>
      <c r="Q44" s="362" t="str">
        <f t="shared" si="5"/>
        <v>paleta B</v>
      </c>
      <c r="R44" s="362"/>
      <c r="S44" s="352">
        <f t="shared" ref="S44:S46" si="8">MAX(X44:Y44)</f>
        <v>0</v>
      </c>
      <c r="T44" s="352">
        <f>MIN(X44:Y44)</f>
        <v>0</v>
      </c>
      <c r="U44" s="363" t="str">
        <f t="shared" si="1"/>
        <v>balík A</v>
      </c>
      <c r="V44" s="364" t="str">
        <f t="shared" si="7"/>
        <v>balík</v>
      </c>
      <c r="W44" s="365">
        <f>Ram_3!H28</f>
        <v>0</v>
      </c>
      <c r="X44" s="366">
        <f>Ram_3!AI30</f>
        <v>0</v>
      </c>
      <c r="Y44" s="367">
        <f>Ram_3!AR14</f>
        <v>0</v>
      </c>
      <c r="Z44" s="368" t="s">
        <v>4309</v>
      </c>
      <c r="AA44" s="354">
        <f>IF(M33&lt;&gt;3,0,IFERROR((IF(HLOOKUP(AA$39,$N44:$Q44,1,0)=AA$39,$W44,0)),0))</f>
        <v>0</v>
      </c>
      <c r="AB44" s="354"/>
      <c r="AC44" s="354">
        <f>IF(M33&lt;&gt;3,0,IFERROR((IF(HLOOKUP(AC$39,$N44:$Q44,1,0)=AC$39,W44,0)),0))</f>
        <v>0</v>
      </c>
      <c r="AD44" s="354">
        <f>IF(M33&lt;&gt;3,0,IFERROR((IF(HLOOKUP(AD$39,$N44:$Q44,1,0)=AD$39,W44,0)),0))</f>
        <v>0</v>
      </c>
      <c r="AE44" s="354">
        <f>IF(M33&lt;&gt;3,0,IFERROR((IF(HLOOKUP(AE$39,$N44:$Q44,1,0)=AE$39,W44,0)),0))</f>
        <v>0</v>
      </c>
      <c r="AF44" s="355"/>
      <c r="AG44" s="400"/>
      <c r="AH44" s="400"/>
      <c r="AI44" s="400"/>
      <c r="AJ44" s="343"/>
      <c r="AQ44" s="337"/>
      <c r="AR44" s="337"/>
      <c r="AS44" s="337"/>
      <c r="AT44" s="337"/>
      <c r="AU44" s="337"/>
      <c r="AV44" s="337"/>
      <c r="BB44" s="337"/>
      <c r="BC44" s="337"/>
      <c r="BD44" s="337"/>
      <c r="BE44" s="337"/>
      <c r="BF44" s="337"/>
      <c r="BG44" s="337"/>
    </row>
    <row r="45" spans="2:59" ht="18.75">
      <c r="E45" s="337"/>
      <c r="F45" s="337"/>
      <c r="G45" s="337"/>
      <c r="H45" s="337"/>
      <c r="I45" s="337"/>
      <c r="J45" s="337"/>
      <c r="M45" s="361" t="s">
        <v>4310</v>
      </c>
      <c r="N45" s="362" t="str">
        <f t="shared" si="2"/>
        <v>balík A</v>
      </c>
      <c r="O45" s="362" t="str">
        <f t="shared" si="3"/>
        <v>balík B</v>
      </c>
      <c r="P45" s="362" t="str">
        <f t="shared" si="4"/>
        <v>paleta A</v>
      </c>
      <c r="Q45" s="362" t="str">
        <f t="shared" si="5"/>
        <v>paleta B</v>
      </c>
      <c r="R45" s="362"/>
      <c r="S45" s="352">
        <f t="shared" si="8"/>
        <v>0</v>
      </c>
      <c r="T45" s="352">
        <f t="shared" si="6"/>
        <v>0</v>
      </c>
      <c r="U45" s="363" t="str">
        <f t="shared" si="1"/>
        <v>balík A</v>
      </c>
      <c r="V45" s="364" t="str">
        <f t="shared" si="7"/>
        <v>balík</v>
      </c>
      <c r="W45" s="365">
        <f>Ram_4!H28</f>
        <v>0</v>
      </c>
      <c r="X45" s="366">
        <f>Ram_4!AI30</f>
        <v>0</v>
      </c>
      <c r="Y45" s="367">
        <f>Ram_4!AR14</f>
        <v>0</v>
      </c>
      <c r="Z45" s="368" t="s">
        <v>4310</v>
      </c>
      <c r="AA45" s="354">
        <f>IF(M33&lt;&gt;3,0,IFERROR((IF(HLOOKUP(AA$39,$N45:$Q45,1,0)=AA$39,$W45,0)),0))</f>
        <v>0</v>
      </c>
      <c r="AB45" s="354"/>
      <c r="AC45" s="354">
        <f>IF(M33&lt;&gt;3,0,IFERROR((IF(HLOOKUP(AC$39,$N45:$Q45,1,0)=AC$39,W45,0)),0))</f>
        <v>0</v>
      </c>
      <c r="AD45" s="354">
        <f>IF(M33&lt;&gt;3,0,IFERROR((IF(HLOOKUP(AD$39,$N45:$Q45,1,0)=AD$39,W45,0)),0))</f>
        <v>0</v>
      </c>
      <c r="AE45" s="354">
        <f>IF(M33&lt;&gt;3,0,IFERROR((IF(HLOOKUP(AE$39,$N45:$Q45,1,0)=AE$39,W45,0)),0))</f>
        <v>0</v>
      </c>
      <c r="AF45" s="355"/>
      <c r="AG45" s="400"/>
      <c r="AH45" s="400"/>
      <c r="AI45" s="400"/>
      <c r="AJ45" s="343"/>
      <c r="AQ45" s="337"/>
      <c r="AR45" s="337"/>
      <c r="AS45" s="337"/>
      <c r="AT45" s="337"/>
      <c r="AU45" s="337"/>
      <c r="AV45" s="337"/>
      <c r="BB45" s="337"/>
      <c r="BC45" s="337"/>
      <c r="BD45" s="337"/>
      <c r="BE45" s="337"/>
      <c r="BF45" s="337"/>
      <c r="BG45" s="337"/>
    </row>
    <row r="46" spans="2:59" ht="18.75">
      <c r="E46" s="337"/>
      <c r="F46" s="337"/>
      <c r="G46" s="337"/>
      <c r="H46" s="337"/>
      <c r="I46" s="337"/>
      <c r="J46" s="337"/>
      <c r="M46" s="361" t="s">
        <v>4311</v>
      </c>
      <c r="N46" s="362" t="str">
        <f t="shared" si="2"/>
        <v>balík A</v>
      </c>
      <c r="O46" s="362" t="str">
        <f>IF(AND(IF($T46&lt;=AC$33,"balík B","ne")="balík B",IF($S46&lt;=AC$32,"balík B","ne")="balík B",$AC$39="balík B"),"balík B","ne")</f>
        <v>balík B</v>
      </c>
      <c r="P46" s="362" t="str">
        <f t="shared" si="4"/>
        <v>paleta A</v>
      </c>
      <c r="Q46" s="362" t="str">
        <f t="shared" si="5"/>
        <v>paleta B</v>
      </c>
      <c r="R46" s="362"/>
      <c r="S46" s="352">
        <f t="shared" si="8"/>
        <v>0</v>
      </c>
      <c r="T46" s="352">
        <f t="shared" si="6"/>
        <v>0</v>
      </c>
      <c r="U46" s="363" t="str">
        <f t="shared" si="1"/>
        <v>balík A</v>
      </c>
      <c r="V46" s="364" t="str">
        <f t="shared" si="7"/>
        <v>balík</v>
      </c>
      <c r="W46" s="365">
        <f>Ram_5!H28</f>
        <v>0</v>
      </c>
      <c r="X46" s="366">
        <f>Ram_5!AI30</f>
        <v>0</v>
      </c>
      <c r="Y46" s="367">
        <f>Ram_5!AR14</f>
        <v>0</v>
      </c>
      <c r="Z46" s="368" t="s">
        <v>4311</v>
      </c>
      <c r="AA46" s="354">
        <f>IF(M33&lt;&gt;3,0,IFERROR((IF(HLOOKUP(AA$39,$N46:$Q46,1,0)=AA$39,$W46,0)),0))</f>
        <v>0</v>
      </c>
      <c r="AB46" s="354"/>
      <c r="AC46" s="354">
        <f>IF(M33&lt;&gt;3,0,IFERROR((IF(HLOOKUP(AC$39,$N46:$Q46,1,0)=AC$39,W46,0)),0))</f>
        <v>0</v>
      </c>
      <c r="AD46" s="354">
        <f>IF(M33&lt;&gt;3,0,IFERROR((IF(HLOOKUP(AD$39,$N46:$Q46,1,0)=AD$39,W46,0)),0))</f>
        <v>0</v>
      </c>
      <c r="AE46" s="354">
        <f>IF(M33&lt;&gt;3,0,IFERROR((IF(HLOOKUP(AE$39,$N46:$Q46,1,0)=AE$39,W46,0)),0))</f>
        <v>0</v>
      </c>
      <c r="AF46" s="355"/>
      <c r="AG46" s="400"/>
      <c r="AH46" s="400"/>
      <c r="AI46" s="400"/>
      <c r="AJ46" s="343"/>
      <c r="AQ46" s="337"/>
      <c r="AR46" s="337"/>
      <c r="AS46" s="337"/>
      <c r="AT46" s="337"/>
      <c r="AU46" s="337"/>
      <c r="AV46" s="337"/>
      <c r="BB46" s="337"/>
      <c r="BC46" s="337"/>
      <c r="BD46" s="337"/>
      <c r="BE46" s="337"/>
      <c r="BF46" s="337"/>
      <c r="BG46" s="337"/>
    </row>
    <row r="47" spans="2:59" ht="19.5" outlineLevel="1" thickBot="1">
      <c r="E47" s="337"/>
      <c r="F47" s="337"/>
      <c r="G47" s="337"/>
      <c r="H47" s="337"/>
      <c r="I47" s="337"/>
      <c r="J47" s="337"/>
      <c r="M47" s="361" t="s">
        <v>4312</v>
      </c>
      <c r="N47" s="362" t="str">
        <f>IF(AND(IF($T47&lt;=AA$33,"balík A","ne")="balík A",IF($S47&lt;=AA$32,"balík A","ne")="balík A",$AA$39="balík A"),"balík A","ne")</f>
        <v>balík A</v>
      </c>
      <c r="O47" s="362" t="str">
        <f t="shared" si="3"/>
        <v>balík B</v>
      </c>
      <c r="P47" s="362" t="str">
        <f t="shared" si="4"/>
        <v>paleta A</v>
      </c>
      <c r="Q47" s="362" t="str">
        <f t="shared" si="5"/>
        <v>paleta B</v>
      </c>
      <c r="R47" s="362"/>
      <c r="S47" s="352">
        <f>MAX(X47:Y47)</f>
        <v>0</v>
      </c>
      <c r="T47" s="352">
        <f>MIN(X47:Y47)</f>
        <v>0</v>
      </c>
      <c r="U47" s="363" t="str">
        <f t="shared" si="1"/>
        <v>balík A</v>
      </c>
      <c r="V47" s="364" t="str">
        <f t="shared" si="7"/>
        <v>balík</v>
      </c>
      <c r="W47" s="365">
        <f>Ram_6!H28</f>
        <v>0</v>
      </c>
      <c r="X47" s="366">
        <f>Ram_6!AI30</f>
        <v>0</v>
      </c>
      <c r="Y47" s="367">
        <f>Ram_6!AR14</f>
        <v>0</v>
      </c>
      <c r="Z47" s="369" t="s">
        <v>4312</v>
      </c>
      <c r="AA47" s="370">
        <f>IF(M33&lt;&gt;3,0,IFERROR((IF(HLOOKUP(AA$39,$N47:$Q47,1,0)=AA$39,$W47,0)),0))</f>
        <v>0</v>
      </c>
      <c r="AB47" s="370"/>
      <c r="AC47" s="370">
        <f>IF(M33&lt;&gt;3,0,IFERROR((IF(HLOOKUP(AC$39,$N47:$Q47,1,0)=AC$39,W47,0)),0))</f>
        <v>0</v>
      </c>
      <c r="AD47" s="370">
        <f>IF(M33&lt;&gt;3,0,IFERROR((IF(HLOOKUP(AD$39,$N47:$Q47,1,0)=AD$39,W47,0)),0))</f>
        <v>0</v>
      </c>
      <c r="AE47" s="370">
        <f>IF(M33&lt;&gt;3,0,IFERROR((IF(HLOOKUP(AE$39,$N47:$Q47,1,0)=AE$39,W47,0)),0))</f>
        <v>0</v>
      </c>
      <c r="AF47" s="416"/>
      <c r="AG47" s="400"/>
      <c r="AH47" s="400"/>
      <c r="AI47" s="400"/>
      <c r="AJ47" s="343"/>
      <c r="AQ47" s="337"/>
      <c r="AR47" s="337"/>
      <c r="AS47" s="337"/>
      <c r="AT47" s="337"/>
      <c r="AU47" s="337"/>
      <c r="AV47" s="337"/>
      <c r="BB47" s="337"/>
      <c r="BC47" s="337"/>
      <c r="BD47" s="337"/>
      <c r="BE47" s="337"/>
      <c r="BF47" s="337"/>
      <c r="BG47" s="337"/>
    </row>
    <row r="48" spans="2:59" ht="15" outlineLevel="6">
      <c r="E48" s="337"/>
      <c r="F48" s="337"/>
      <c r="G48" s="337"/>
      <c r="H48" s="337"/>
      <c r="I48" s="337"/>
      <c r="J48" s="337"/>
      <c r="M48" s="342"/>
      <c r="N48" s="399"/>
      <c r="O48" s="399"/>
      <c r="P48" s="399"/>
      <c r="Q48" s="399"/>
      <c r="R48" s="399"/>
      <c r="S48" s="399"/>
      <c r="T48" s="399"/>
      <c r="U48" s="399" t="str">
        <f>IFERROR((VLOOKUP("ne",U42:U47,1,0)),"ano")</f>
        <v>ano</v>
      </c>
      <c r="V48" s="399"/>
      <c r="W48" s="399"/>
      <c r="X48" s="403"/>
      <c r="Y48" s="401"/>
      <c r="Z48" s="400"/>
      <c r="AA48" s="401">
        <f>SUM(AA42:AA47)</f>
        <v>0</v>
      </c>
      <c r="AB48" s="401"/>
      <c r="AC48" s="401">
        <f>SUM(AC42:AC47)-(IF(O42="ne",0,AA48))</f>
        <v>0</v>
      </c>
      <c r="AD48" s="401">
        <f>SUM(AD42:AD47)-SUM($AA$48:AC48)</f>
        <v>0</v>
      </c>
      <c r="AE48" s="401">
        <f>SUM(AE42:AE47)-SUM($AA$48:AD48)</f>
        <v>0</v>
      </c>
      <c r="AF48" s="401"/>
      <c r="AG48" s="400"/>
      <c r="AH48" s="404" t="s">
        <v>4313</v>
      </c>
      <c r="AI48" s="400"/>
      <c r="AJ48" s="343"/>
      <c r="AQ48" s="337"/>
      <c r="AR48" s="337"/>
      <c r="AS48" s="337"/>
      <c r="AT48" s="337"/>
      <c r="AU48" s="337"/>
      <c r="AV48" s="337"/>
      <c r="BB48" s="337"/>
      <c r="BC48" s="337"/>
      <c r="BD48" s="337"/>
      <c r="BE48" s="337"/>
      <c r="BF48" s="337"/>
      <c r="BG48" s="337"/>
    </row>
    <row r="49" spans="1:59" ht="15" outlineLevel="6">
      <c r="E49" s="337"/>
      <c r="F49" s="337"/>
      <c r="G49" s="337"/>
      <c r="H49" s="337"/>
      <c r="I49" s="337"/>
      <c r="J49" s="337"/>
      <c r="M49" s="342"/>
      <c r="N49" s="399"/>
      <c r="O49" s="399"/>
      <c r="P49" s="399"/>
      <c r="Q49" s="399"/>
      <c r="R49" s="399"/>
      <c r="S49" s="399"/>
      <c r="T49" s="399"/>
      <c r="U49" s="399"/>
      <c r="V49" s="399"/>
      <c r="W49" s="399"/>
      <c r="X49" s="403"/>
      <c r="Y49" s="401"/>
      <c r="Z49" s="400"/>
      <c r="AA49" s="401">
        <f>CEILING(AA48/AA40,1)</f>
        <v>0</v>
      </c>
      <c r="AB49" s="401" t="e">
        <f>FLOOR(AB48/AB40,1)</f>
        <v>#DIV/0!</v>
      </c>
      <c r="AC49" s="401">
        <f>CEILING(AC48/AC40,1)</f>
        <v>0</v>
      </c>
      <c r="AD49" s="401"/>
      <c r="AE49" s="401"/>
      <c r="AF49" s="401"/>
      <c r="AG49" s="400"/>
      <c r="AH49" s="400" t="s">
        <v>4314</v>
      </c>
      <c r="AI49" s="400"/>
      <c r="AJ49" s="343"/>
      <c r="AQ49" s="337"/>
      <c r="AR49" s="337"/>
      <c r="AS49" s="337"/>
      <c r="AT49" s="337"/>
      <c r="AU49" s="337"/>
      <c r="AV49" s="337"/>
      <c r="BB49" s="337"/>
      <c r="BC49" s="337"/>
      <c r="BD49" s="337"/>
      <c r="BE49" s="337"/>
      <c r="BF49" s="337"/>
      <c r="BG49" s="337"/>
    </row>
    <row r="50" spans="1:59" ht="15" outlineLevel="6">
      <c r="E50" s="337"/>
      <c r="F50" s="337"/>
      <c r="G50" s="337"/>
      <c r="H50" s="337"/>
      <c r="I50" s="337"/>
      <c r="J50" s="337"/>
      <c r="M50" s="342"/>
      <c r="N50" s="399"/>
      <c r="O50" s="399"/>
      <c r="P50" s="399"/>
      <c r="Q50" s="399"/>
      <c r="R50" s="399"/>
      <c r="S50" s="399"/>
      <c r="T50" s="399"/>
      <c r="U50" s="399"/>
      <c r="V50" s="399"/>
      <c r="W50" s="399"/>
      <c r="X50" s="403"/>
      <c r="Y50" s="401"/>
      <c r="Z50" s="400"/>
      <c r="AA50" s="401">
        <f>SUM(AA42:AA47)</f>
        <v>0</v>
      </c>
      <c r="AB50" s="401"/>
      <c r="AC50" s="401">
        <f>SUM(AC42:AC47)</f>
        <v>0</v>
      </c>
      <c r="AD50" s="401">
        <f t="shared" ref="AD50" si="9">SUM(AD42:AD47)</f>
        <v>0</v>
      </c>
      <c r="AE50" s="401">
        <f>SUM(AE42:AE47)</f>
        <v>0</v>
      </c>
      <c r="AF50" s="401"/>
      <c r="AG50" s="400"/>
      <c r="AH50" s="404" t="s">
        <v>4315</v>
      </c>
      <c r="AI50" s="400"/>
      <c r="AJ50" s="343"/>
      <c r="AQ50" s="337"/>
      <c r="AR50" s="337"/>
      <c r="AS50" s="337"/>
      <c r="AT50" s="337"/>
      <c r="AU50" s="337"/>
      <c r="AV50" s="337"/>
      <c r="BB50" s="337"/>
      <c r="BC50" s="337"/>
      <c r="BD50" s="337"/>
      <c r="BE50" s="337"/>
      <c r="BF50" s="337"/>
      <c r="BG50" s="337"/>
    </row>
    <row r="51" spans="1:59" ht="15" outlineLevel="6">
      <c r="M51" s="342"/>
      <c r="N51" s="399"/>
      <c r="O51" s="399"/>
      <c r="P51" s="399"/>
      <c r="Q51" s="399"/>
      <c r="R51" s="399"/>
      <c r="S51" s="399"/>
      <c r="T51" s="399"/>
      <c r="U51" s="399"/>
      <c r="V51" s="399"/>
      <c r="W51" s="399"/>
      <c r="X51" s="399"/>
      <c r="Y51" s="400"/>
      <c r="Z51" s="400"/>
      <c r="AA51" s="401">
        <f t="shared" ref="AA51:AE51" si="10">CEILING(AA50/AA40,1)</f>
        <v>0</v>
      </c>
      <c r="AB51" s="401" t="e">
        <f t="shared" si="10"/>
        <v>#DIV/0!</v>
      </c>
      <c r="AC51" s="401">
        <f t="shared" si="10"/>
        <v>0</v>
      </c>
      <c r="AD51" s="401">
        <f t="shared" si="10"/>
        <v>0</v>
      </c>
      <c r="AE51" s="401">
        <f t="shared" si="10"/>
        <v>0</v>
      </c>
      <c r="AF51" s="401"/>
      <c r="AG51" s="400"/>
      <c r="AH51" s="400" t="s">
        <v>4316</v>
      </c>
      <c r="AI51" s="400"/>
      <c r="AJ51" s="343"/>
    </row>
    <row r="52" spans="1:59" ht="15" outlineLevel="6">
      <c r="M52" s="342"/>
      <c r="N52" s="399"/>
      <c r="O52" s="399"/>
      <c r="P52" s="399"/>
      <c r="Q52" s="399"/>
      <c r="R52" s="399"/>
      <c r="S52" s="399"/>
      <c r="T52" s="399"/>
      <c r="U52" s="399"/>
      <c r="V52" s="399"/>
      <c r="W52" s="399"/>
      <c r="X52" s="399"/>
      <c r="Y52" s="400"/>
      <c r="Z52" s="400"/>
      <c r="AA52" s="401">
        <f>CEILING(AA50/AA40,1)</f>
        <v>0</v>
      </c>
      <c r="AB52" s="401"/>
      <c r="AC52" s="401">
        <f>CEILING((AC50-AA50)/AC40,1)</f>
        <v>0</v>
      </c>
      <c r="AD52" s="401"/>
      <c r="AE52" s="401"/>
      <c r="AF52" s="401"/>
      <c r="AG52" s="400"/>
      <c r="AH52" s="400" t="s">
        <v>4317</v>
      </c>
      <c r="AI52" s="400"/>
      <c r="AJ52" s="343"/>
      <c r="AV52" s="337"/>
    </row>
    <row r="53" spans="1:59" ht="15" outlineLevel="6">
      <c r="M53" s="342"/>
      <c r="N53" s="399"/>
      <c r="O53" s="399"/>
      <c r="P53" s="399"/>
      <c r="Q53" s="399"/>
      <c r="R53" s="399"/>
      <c r="S53" s="399"/>
      <c r="T53" s="399"/>
      <c r="U53" s="399"/>
      <c r="V53" s="399"/>
      <c r="W53" s="399"/>
      <c r="X53" s="399"/>
      <c r="Y53" s="400"/>
      <c r="Z53" s="400"/>
      <c r="AA53" s="401">
        <f>(AA50/AA40-FLOOR(AA50/AA40,1))*AA40</f>
        <v>0</v>
      </c>
      <c r="AB53" s="401" t="e">
        <f>(AB50/AB40-FLOOR(AB50/AB40,1))*AB40</f>
        <v>#DIV/0!</v>
      </c>
      <c r="AC53" s="401">
        <f>((AC50-AA50)/AC40-FLOOR(AC50/AC40,1))*AC40</f>
        <v>0</v>
      </c>
      <c r="AD53" s="401"/>
      <c r="AE53" s="401"/>
      <c r="AF53" s="401"/>
      <c r="AG53" s="400"/>
      <c r="AH53" s="400" t="s">
        <v>4318</v>
      </c>
      <c r="AI53" s="400"/>
      <c r="AJ53" s="343"/>
    </row>
    <row r="54" spans="1:59" ht="21" customHeight="1" outlineLevel="6">
      <c r="E54" s="386"/>
      <c r="F54" s="386"/>
      <c r="G54" s="386"/>
      <c r="H54" s="387"/>
      <c r="I54" s="387"/>
      <c r="J54" s="387"/>
      <c r="M54" s="342"/>
      <c r="N54" s="399"/>
      <c r="O54" s="399"/>
      <c r="P54" s="399"/>
      <c r="Q54" s="399"/>
      <c r="R54" s="399"/>
      <c r="S54" s="399"/>
      <c r="T54" s="399"/>
      <c r="U54" s="399"/>
      <c r="V54" s="399"/>
      <c r="W54" s="399"/>
      <c r="X54" s="399"/>
      <c r="Y54" s="400"/>
      <c r="Z54" s="400" t="s">
        <v>4319</v>
      </c>
      <c r="AA54" s="405">
        <f>AA48-(FLOOR(AA48/AA40,1)*AA40)</f>
        <v>0</v>
      </c>
      <c r="AB54" s="405" t="e">
        <f>AB49*AB40-AB48</f>
        <v>#DIV/0!</v>
      </c>
      <c r="AC54" s="401"/>
      <c r="AD54" s="401"/>
      <c r="AE54" s="401"/>
      <c r="AF54" s="401"/>
      <c r="AG54" s="400"/>
      <c r="AH54" s="400" t="s">
        <v>4319</v>
      </c>
      <c r="AI54" s="400"/>
      <c r="AJ54" s="343"/>
    </row>
    <row r="55" spans="1:59" ht="21" customHeight="1" outlineLevel="6">
      <c r="E55" s="386"/>
      <c r="F55" s="386"/>
      <c r="G55" s="386"/>
      <c r="H55" s="387"/>
      <c r="I55" s="387"/>
      <c r="J55" s="387"/>
      <c r="M55" s="342"/>
      <c r="N55" s="399"/>
      <c r="O55" s="399"/>
      <c r="P55" s="399"/>
      <c r="Q55" s="399"/>
      <c r="R55" s="399"/>
      <c r="S55" s="399"/>
      <c r="T55" s="399"/>
      <c r="U55" s="399"/>
      <c r="V55" s="399"/>
      <c r="W55" s="399"/>
      <c r="X55" s="399"/>
      <c r="Y55" s="400"/>
      <c r="Z55" s="400"/>
      <c r="AA55" s="405"/>
      <c r="AB55" s="405"/>
      <c r="AC55" s="405">
        <f>AC49*AC40-AC48</f>
        <v>0</v>
      </c>
      <c r="AD55" s="401"/>
      <c r="AE55" s="401"/>
      <c r="AF55" s="401"/>
      <c r="AG55" s="400"/>
      <c r="AH55" s="400" t="s">
        <v>4320</v>
      </c>
      <c r="AI55" s="400"/>
      <c r="AJ55" s="343"/>
    </row>
    <row r="56" spans="1:59" ht="21" customHeight="1" outlineLevel="6">
      <c r="E56" s="386"/>
      <c r="F56" s="386"/>
      <c r="G56" s="386"/>
      <c r="H56" s="387"/>
      <c r="I56" s="387"/>
      <c r="J56" s="387"/>
      <c r="M56" s="342"/>
      <c r="N56" s="399"/>
      <c r="O56" s="399"/>
      <c r="P56" s="399"/>
      <c r="Q56" s="399"/>
      <c r="R56" s="399"/>
      <c r="S56" s="399"/>
      <c r="T56" s="399"/>
      <c r="U56" s="399"/>
      <c r="V56" s="399"/>
      <c r="W56" s="399"/>
      <c r="X56" s="399"/>
      <c r="Y56" s="400"/>
      <c r="Z56" s="400"/>
      <c r="AA56" s="405">
        <f>(AA48-AA54)/AA40</f>
        <v>0</v>
      </c>
      <c r="AB56" s="405"/>
      <c r="AC56" s="401">
        <f>CEILING((AC48+AA54)/AC40,1)</f>
        <v>0</v>
      </c>
      <c r="AD56" s="401"/>
      <c r="AE56" s="401"/>
      <c r="AF56" s="401"/>
      <c r="AG56" s="400"/>
      <c r="AH56" s="404" t="s">
        <v>4321</v>
      </c>
      <c r="AI56" s="400"/>
      <c r="AJ56" s="343"/>
    </row>
    <row r="57" spans="1:59" ht="23.25" customHeight="1" outlineLevel="1" thickBot="1">
      <c r="B57" s="238"/>
      <c r="E57" s="337"/>
      <c r="F57" s="337"/>
      <c r="G57" s="337"/>
      <c r="H57" s="337"/>
      <c r="I57" s="337"/>
      <c r="J57" s="337"/>
      <c r="M57" s="342"/>
      <c r="N57" s="399"/>
      <c r="O57" s="399"/>
      <c r="P57" s="399"/>
      <c r="Q57" s="399"/>
      <c r="R57" s="399"/>
      <c r="S57" s="399"/>
      <c r="T57" s="399"/>
      <c r="U57" s="399"/>
      <c r="V57" s="399"/>
      <c r="W57" s="399"/>
      <c r="X57" s="399"/>
      <c r="Y57" s="400"/>
      <c r="Z57" s="400"/>
      <c r="AA57" s="400"/>
      <c r="AB57" s="400"/>
      <c r="AC57" s="400"/>
      <c r="AD57" s="400"/>
      <c r="AE57" s="400"/>
      <c r="AF57" s="400"/>
      <c r="AG57" s="400"/>
      <c r="AH57" s="400" t="s">
        <v>4322</v>
      </c>
      <c r="AI57" s="400"/>
      <c r="AJ57" s="343"/>
    </row>
    <row r="58" spans="1:59" ht="30" customHeight="1" thickBot="1">
      <c r="A58" s="396"/>
      <c r="B58" s="160"/>
      <c r="D58" s="337"/>
      <c r="E58" s="389"/>
      <c r="F58" s="389"/>
      <c r="G58" s="389"/>
      <c r="H58" s="389"/>
      <c r="I58" s="389"/>
      <c r="J58" s="389"/>
      <c r="M58" s="342"/>
      <c r="N58" s="399"/>
      <c r="O58" s="399"/>
      <c r="P58" s="399"/>
      <c r="Q58" s="399"/>
      <c r="R58" s="399"/>
      <c r="S58" s="399"/>
      <c r="T58" s="399"/>
      <c r="U58" s="399"/>
      <c r="V58" s="399"/>
      <c r="W58" s="399"/>
      <c r="X58" s="399"/>
      <c r="Y58" s="400"/>
      <c r="Z58" s="400"/>
      <c r="AA58" s="371">
        <f>IF(AA50&lt;$Z$36,0,AA51*AA38)</f>
        <v>0</v>
      </c>
      <c r="AB58" s="372">
        <f>IF(AB50&lt;$Z$36,0,AB57)</f>
        <v>0</v>
      </c>
      <c r="AC58" s="372">
        <f>IF(AC50&lt;$Z$36,0,AC51*AC38)</f>
        <v>0</v>
      </c>
      <c r="AD58" s="372">
        <f>IF(AD50&lt;$Z$36,0,AD51*AD38)</f>
        <v>0</v>
      </c>
      <c r="AE58" s="372">
        <f>IF(AE50&lt;$Z$36,0,AE51*AE38)</f>
        <v>0</v>
      </c>
      <c r="AF58" s="373"/>
      <c r="AG58" s="406">
        <f>(_xlfn.MINIFS(AA57:AE57,AA58:AE58,"&gt;"&amp;0))</f>
        <v>0</v>
      </c>
      <c r="AH58" s="413"/>
      <c r="AI58" s="400"/>
      <c r="AJ58" s="343"/>
    </row>
    <row r="59" spans="1:59" ht="17.25" customHeight="1">
      <c r="A59" s="396"/>
      <c r="B59" s="160"/>
      <c r="D59" s="337"/>
      <c r="E59" s="390"/>
      <c r="F59" s="390"/>
      <c r="G59" s="390"/>
      <c r="H59" s="390"/>
      <c r="I59" s="390"/>
      <c r="J59" s="390"/>
      <c r="M59" s="342"/>
      <c r="N59" s="399"/>
      <c r="O59" s="399"/>
      <c r="P59" s="399"/>
      <c r="Q59" s="399"/>
      <c r="R59" s="399"/>
      <c r="S59" s="399"/>
      <c r="T59" s="399"/>
      <c r="U59" s="399"/>
      <c r="V59" s="399"/>
      <c r="W59" s="399"/>
      <c r="X59" s="399"/>
      <c r="Y59" s="400"/>
      <c r="Z59" s="400"/>
      <c r="AA59" s="407" t="str">
        <f>AA39&amp;" ("&amp;AA51&amp;"ks)"</f>
        <v>balík A (0ks)</v>
      </c>
      <c r="AB59" s="407" t="e">
        <f t="shared" ref="AB59:AE59" si="11">AB39&amp;" ("&amp;AB51&amp;"ks)"</f>
        <v>#DIV/0!</v>
      </c>
      <c r="AC59" s="407" t="str">
        <f t="shared" si="11"/>
        <v>balík B (0ks)</v>
      </c>
      <c r="AD59" s="407" t="str">
        <f t="shared" si="11"/>
        <v>paleta A (0ks)</v>
      </c>
      <c r="AE59" s="407" t="str">
        <f t="shared" si="11"/>
        <v>paleta B (0ks)</v>
      </c>
      <c r="AF59" s="407"/>
      <c r="AG59" s="400"/>
      <c r="AH59" s="413"/>
      <c r="AI59" s="400"/>
      <c r="AJ59" s="343"/>
    </row>
    <row r="60" spans="1:59" ht="17.25" hidden="1" customHeight="1">
      <c r="A60" s="396"/>
      <c r="B60" s="160"/>
      <c r="D60" s="337"/>
      <c r="E60" s="390"/>
      <c r="F60" s="390"/>
      <c r="G60" s="390"/>
      <c r="H60" s="390"/>
      <c r="I60" s="390"/>
      <c r="J60" s="390"/>
      <c r="M60" s="342"/>
      <c r="N60" s="399"/>
      <c r="O60" s="399"/>
      <c r="P60" s="399"/>
      <c r="Q60" s="399"/>
      <c r="R60" s="399"/>
      <c r="S60" s="399"/>
      <c r="T60" s="399"/>
      <c r="U60" s="399"/>
      <c r="V60" s="399"/>
      <c r="W60" s="399"/>
      <c r="X60" s="399"/>
      <c r="Y60" s="400"/>
      <c r="Z60" s="400"/>
      <c r="AA60" s="407"/>
      <c r="AB60" s="407"/>
      <c r="AC60" s="407"/>
      <c r="AD60" s="407"/>
      <c r="AE60" s="407"/>
      <c r="AF60" s="407"/>
      <c r="AG60" s="400"/>
      <c r="AH60" s="413"/>
      <c r="AI60" s="400"/>
      <c r="AJ60" s="343"/>
    </row>
    <row r="61" spans="1:59" ht="17.25" hidden="1" customHeight="1">
      <c r="A61" s="396"/>
      <c r="B61" s="160"/>
      <c r="D61" s="337"/>
      <c r="E61" s="390"/>
      <c r="F61" s="390"/>
      <c r="G61" s="390"/>
      <c r="H61" s="390"/>
      <c r="I61" s="390"/>
      <c r="J61" s="390"/>
      <c r="M61" s="342"/>
      <c r="N61" s="399"/>
      <c r="O61" s="399"/>
      <c r="P61" s="399"/>
      <c r="Q61" s="399"/>
      <c r="R61" s="399"/>
      <c r="S61" s="399"/>
      <c r="T61" s="399"/>
      <c r="U61" s="399"/>
      <c r="V61" s="399"/>
      <c r="W61" s="399"/>
      <c r="X61" s="399"/>
      <c r="Y61" s="400"/>
      <c r="Z61" s="400"/>
      <c r="AA61" s="407"/>
      <c r="AB61" s="407"/>
      <c r="AC61" s="407"/>
      <c r="AD61" s="407"/>
      <c r="AE61" s="407"/>
      <c r="AF61" s="407"/>
      <c r="AG61" s="400"/>
      <c r="AH61" s="413"/>
      <c r="AI61" s="400"/>
      <c r="AJ61" s="343"/>
    </row>
    <row r="62" spans="1:59" ht="17.25" hidden="1" customHeight="1">
      <c r="A62" s="396"/>
      <c r="B62" s="160"/>
      <c r="D62" s="337"/>
      <c r="E62" s="390"/>
      <c r="F62" s="390"/>
      <c r="G62" s="390"/>
      <c r="H62" s="390"/>
      <c r="I62" s="390"/>
      <c r="J62" s="390"/>
      <c r="M62" s="342"/>
      <c r="N62" s="399"/>
      <c r="O62" s="399"/>
      <c r="P62" s="399"/>
      <c r="Q62" s="399"/>
      <c r="R62" s="399"/>
      <c r="S62" s="399"/>
      <c r="T62" s="399"/>
      <c r="U62" s="399"/>
      <c r="V62" s="399"/>
      <c r="W62" s="399"/>
      <c r="X62" s="399"/>
      <c r="Y62" s="400"/>
      <c r="Z62" s="400"/>
      <c r="AA62" s="407"/>
      <c r="AB62" s="407"/>
      <c r="AC62" s="407"/>
      <c r="AD62" s="407"/>
      <c r="AE62" s="407"/>
      <c r="AF62" s="407"/>
      <c r="AG62" s="400"/>
      <c r="AH62" s="413"/>
      <c r="AI62" s="400"/>
      <c r="AJ62" s="343"/>
    </row>
    <row r="63" spans="1:59" ht="17.25" hidden="1" customHeight="1">
      <c r="A63" s="396"/>
      <c r="B63" s="160"/>
      <c r="D63" s="337"/>
      <c r="E63" s="390"/>
      <c r="F63" s="390"/>
      <c r="G63" s="390"/>
      <c r="H63" s="390"/>
      <c r="I63" s="390"/>
      <c r="J63" s="390"/>
      <c r="M63" s="342"/>
      <c r="N63" s="399"/>
      <c r="O63" s="399"/>
      <c r="P63" s="399"/>
      <c r="Q63" s="399"/>
      <c r="R63" s="399"/>
      <c r="S63" s="399"/>
      <c r="T63" s="399"/>
      <c r="U63" s="399"/>
      <c r="V63" s="399"/>
      <c r="W63" s="399"/>
      <c r="X63" s="399"/>
      <c r="Y63" s="400"/>
      <c r="Z63" s="400"/>
      <c r="AA63" s="407"/>
      <c r="AB63" s="407"/>
      <c r="AC63" s="407"/>
      <c r="AD63" s="407"/>
      <c r="AE63" s="407"/>
      <c r="AF63" s="407"/>
      <c r="AG63" s="400"/>
      <c r="AH63" s="413"/>
      <c r="AI63" s="400"/>
      <c r="AJ63" s="343"/>
    </row>
    <row r="64" spans="1:59" ht="17.25" hidden="1" customHeight="1">
      <c r="A64" s="396"/>
      <c r="B64" s="160"/>
      <c r="D64" s="337"/>
      <c r="E64" s="390"/>
      <c r="F64" s="390"/>
      <c r="G64" s="390"/>
      <c r="H64" s="390"/>
      <c r="I64" s="390"/>
      <c r="J64" s="390"/>
      <c r="M64" s="342"/>
      <c r="N64" s="399"/>
      <c r="O64" s="399"/>
      <c r="P64" s="399"/>
      <c r="Q64" s="399"/>
      <c r="R64" s="399"/>
      <c r="S64" s="399"/>
      <c r="T64" s="399"/>
      <c r="U64" s="399"/>
      <c r="V64" s="399"/>
      <c r="W64" s="399"/>
      <c r="X64" s="399"/>
      <c r="Y64" s="400"/>
      <c r="Z64" s="400"/>
      <c r="AA64" s="407"/>
      <c r="AB64" s="407"/>
      <c r="AC64" s="407"/>
      <c r="AD64" s="407"/>
      <c r="AE64" s="407"/>
      <c r="AF64" s="407"/>
      <c r="AG64" s="400"/>
      <c r="AH64" s="413"/>
      <c r="AI64" s="400"/>
      <c r="AJ64" s="343"/>
    </row>
    <row r="65" spans="1:36" ht="17.25" hidden="1" customHeight="1">
      <c r="A65" s="396"/>
      <c r="B65" s="160"/>
      <c r="D65" s="337"/>
      <c r="E65" s="390"/>
      <c r="F65" s="390"/>
      <c r="G65" s="390"/>
      <c r="H65" s="390"/>
      <c r="I65" s="390"/>
      <c r="J65" s="390"/>
      <c r="M65" s="342"/>
      <c r="N65" s="399"/>
      <c r="O65" s="399"/>
      <c r="P65" s="399"/>
      <c r="Q65" s="399"/>
      <c r="R65" s="399"/>
      <c r="S65" s="399"/>
      <c r="T65" s="399"/>
      <c r="U65" s="399"/>
      <c r="V65" s="399"/>
      <c r="W65" s="399"/>
      <c r="X65" s="399"/>
      <c r="Y65" s="400"/>
      <c r="Z65" s="400"/>
      <c r="AA65" s="407"/>
      <c r="AB65" s="407"/>
      <c r="AC65" s="407"/>
      <c r="AD65" s="407"/>
      <c r="AE65" s="407"/>
      <c r="AF65" s="407"/>
      <c r="AG65" s="400"/>
      <c r="AH65" s="413"/>
      <c r="AI65" s="400"/>
      <c r="AJ65" s="343"/>
    </row>
    <row r="66" spans="1:36" ht="17.25" hidden="1" customHeight="1">
      <c r="A66" s="396"/>
      <c r="B66" s="160"/>
      <c r="D66" s="337"/>
      <c r="E66" s="390"/>
      <c r="F66" s="390"/>
      <c r="G66" s="390"/>
      <c r="H66" s="390"/>
      <c r="I66" s="390"/>
      <c r="J66" s="390"/>
      <c r="M66" s="342"/>
      <c r="N66" s="399"/>
      <c r="O66" s="399"/>
      <c r="P66" s="399"/>
      <c r="Q66" s="399"/>
      <c r="R66" s="399"/>
      <c r="S66" s="399"/>
      <c r="T66" s="399"/>
      <c r="U66" s="399"/>
      <c r="V66" s="399"/>
      <c r="W66" s="399"/>
      <c r="X66" s="399"/>
      <c r="Y66" s="400"/>
      <c r="Z66" s="400"/>
      <c r="AA66" s="407"/>
      <c r="AB66" s="407"/>
      <c r="AC66" s="407"/>
      <c r="AD66" s="407"/>
      <c r="AE66" s="407"/>
      <c r="AF66" s="407"/>
      <c r="AG66" s="400"/>
      <c r="AH66" s="413"/>
      <c r="AI66" s="400"/>
      <c r="AJ66" s="343"/>
    </row>
    <row r="67" spans="1:36" ht="17.25" hidden="1" customHeight="1">
      <c r="A67" s="396"/>
      <c r="B67" s="160"/>
      <c r="D67" s="337"/>
      <c r="E67" s="390"/>
      <c r="F67" s="390"/>
      <c r="G67" s="390"/>
      <c r="H67" s="390"/>
      <c r="I67" s="390"/>
      <c r="J67" s="390"/>
      <c r="M67" s="342"/>
      <c r="N67" s="399"/>
      <c r="O67" s="399"/>
      <c r="P67" s="399"/>
      <c r="Q67" s="399"/>
      <c r="R67" s="399"/>
      <c r="S67" s="399"/>
      <c r="T67" s="399"/>
      <c r="U67" s="399"/>
      <c r="V67" s="399"/>
      <c r="W67" s="399"/>
      <c r="X67" s="399"/>
      <c r="Y67" s="400"/>
      <c r="Z67" s="400"/>
      <c r="AA67" s="407"/>
      <c r="AB67" s="407"/>
      <c r="AC67" s="407"/>
      <c r="AD67" s="407"/>
      <c r="AE67" s="407"/>
      <c r="AF67" s="407"/>
      <c r="AG67" s="400"/>
      <c r="AH67" s="413"/>
      <c r="AI67" s="400"/>
      <c r="AJ67" s="343"/>
    </row>
    <row r="68" spans="1:36" ht="15.75" hidden="1" customHeight="1">
      <c r="B68" s="337"/>
      <c r="D68" s="337"/>
      <c r="E68" s="337"/>
      <c r="F68" s="337"/>
      <c r="G68" s="337"/>
      <c r="H68" s="337"/>
      <c r="I68" s="337"/>
      <c r="J68" s="337"/>
      <c r="M68" s="342"/>
      <c r="N68" s="399"/>
      <c r="O68" s="399"/>
      <c r="P68" s="399"/>
      <c r="Q68" s="399"/>
      <c r="R68" s="399"/>
      <c r="S68" s="399"/>
      <c r="T68" s="399"/>
      <c r="U68" s="399"/>
      <c r="V68" s="399"/>
      <c r="W68" s="399"/>
      <c r="X68" s="399"/>
      <c r="Y68" s="400"/>
      <c r="Z68" s="400"/>
      <c r="AA68" s="400"/>
      <c r="AB68" s="400"/>
      <c r="AC68" s="400"/>
      <c r="AD68" s="400"/>
      <c r="AE68" s="400"/>
      <c r="AF68" s="400"/>
      <c r="AG68" s="400"/>
      <c r="AH68" s="413"/>
      <c r="AI68" s="400"/>
      <c r="AJ68" s="343"/>
    </row>
    <row r="69" spans="1:36" ht="36.75" customHeight="1">
      <c r="D69" s="337"/>
      <c r="E69" s="337"/>
      <c r="F69" s="337"/>
      <c r="G69" s="337"/>
      <c r="H69" s="337"/>
      <c r="I69" s="337"/>
      <c r="J69" s="337"/>
      <c r="M69" s="342"/>
      <c r="N69" s="399"/>
      <c r="O69" s="399"/>
      <c r="P69" s="399"/>
      <c r="Q69" s="399"/>
      <c r="R69" s="399"/>
      <c r="S69" s="399"/>
      <c r="T69" s="399"/>
      <c r="U69" s="399"/>
      <c r="V69" s="399"/>
      <c r="W69" s="399"/>
      <c r="X69" s="399"/>
      <c r="Y69" s="400"/>
      <c r="Z69" s="400"/>
      <c r="AA69" s="400"/>
      <c r="AB69" s="400"/>
      <c r="AC69" s="400"/>
      <c r="AD69" s="400"/>
      <c r="AE69" s="400"/>
      <c r="AF69" s="401"/>
      <c r="AG69" s="400"/>
      <c r="AH69" s="414">
        <f>IF(W40&gt;20,"wycena indiwidualna",IF(U48="ano",IF(AF71&lt;(_xlfn.MINIFS(AA58:AE58,AA58:AE58,"&gt;"&amp;0)),IF(AF71=0,_xlfn.MINIFS(AA58:AE58,AA58:AE58,"&gt;"&amp;0),AF71),_xlfn.MINIFS(AA58:AE58,AA58:AE58,"&gt;"&amp;0)),"zbyt duże wymiary"))</f>
        <v>0</v>
      </c>
      <c r="AI69" s="415"/>
      <c r="AJ69" s="343"/>
    </row>
    <row r="70" spans="1:36" ht="15" customHeight="1" thickBot="1">
      <c r="D70" s="337"/>
      <c r="E70" s="389"/>
      <c r="F70" s="389"/>
      <c r="G70" s="389"/>
      <c r="H70" s="337"/>
      <c r="I70" s="337"/>
      <c r="J70" s="337"/>
      <c r="M70" s="342"/>
      <c r="N70" s="399"/>
      <c r="O70" s="399"/>
      <c r="P70" s="399"/>
      <c r="Q70" s="399"/>
      <c r="R70" s="399"/>
      <c r="S70" s="399"/>
      <c r="T70" s="399"/>
      <c r="U70" s="399"/>
      <c r="V70" s="399"/>
      <c r="W70" s="399"/>
      <c r="X70" s="399"/>
      <c r="Y70" s="400"/>
      <c r="Z70" s="400" t="str">
        <f>IF(AA70="NE","Nelze přihodit A do C","A lze přihodit do C")</f>
        <v>A lze přihodit do C</v>
      </c>
      <c r="AA70" s="374" t="str">
        <f>IF(AND(O42="balík B",AC55&gt;=AA54),"ANO","NE")</f>
        <v>ANO</v>
      </c>
      <c r="AB70" s="400"/>
      <c r="AC70" s="400"/>
      <c r="AD70" s="400"/>
      <c r="AE70" s="400"/>
      <c r="AF70" s="400"/>
      <c r="AG70" s="400"/>
      <c r="AH70" s="413"/>
      <c r="AI70" s="400"/>
      <c r="AJ70" s="343"/>
    </row>
    <row r="71" spans="1:36" ht="15" customHeight="1">
      <c r="D71" s="337"/>
      <c r="E71" s="390"/>
      <c r="F71" s="390"/>
      <c r="G71" s="390"/>
      <c r="H71" s="390"/>
      <c r="I71" s="390"/>
      <c r="J71" s="390"/>
      <c r="M71" s="342"/>
      <c r="N71" s="399"/>
      <c r="O71" s="399"/>
      <c r="P71" s="399"/>
      <c r="Q71" s="399"/>
      <c r="R71" s="399"/>
      <c r="S71" s="399"/>
      <c r="T71" s="399"/>
      <c r="U71" s="399"/>
      <c r="V71" s="399"/>
      <c r="W71" s="399"/>
      <c r="X71" s="399"/>
      <c r="Y71" s="400"/>
      <c r="Z71" s="400"/>
      <c r="AA71" s="375">
        <f>AD71*AA38</f>
        <v>0</v>
      </c>
      <c r="AB71" s="376"/>
      <c r="AC71" s="376" t="s">
        <v>4328</v>
      </c>
      <c r="AD71" s="377">
        <f>IF((IF(SUMIFS(W42:W47,V42:V47,"paleta")&gt;0,"paleta",0))="paleta",0,IF(AA70="NE",AA49,AA56))</f>
        <v>0</v>
      </c>
      <c r="AE71" s="378" t="s">
        <v>4323</v>
      </c>
      <c r="AF71" s="786">
        <f>AA71+AA72</f>
        <v>0</v>
      </c>
      <c r="AG71" s="400"/>
      <c r="AH71" s="413"/>
      <c r="AI71" s="400"/>
      <c r="AJ71" s="343"/>
    </row>
    <row r="72" spans="1:36" ht="15.75" customHeight="1" thickBot="1">
      <c r="E72" s="337"/>
      <c r="F72" s="337"/>
      <c r="G72" s="337"/>
      <c r="H72" s="390"/>
      <c r="I72" s="390"/>
      <c r="J72" s="390"/>
      <c r="M72" s="342"/>
      <c r="N72" s="399"/>
      <c r="O72" s="399"/>
      <c r="P72" s="399"/>
      <c r="Q72" s="399"/>
      <c r="R72" s="399"/>
      <c r="S72" s="399"/>
      <c r="T72" s="399"/>
      <c r="U72" s="399"/>
      <c r="V72" s="399"/>
      <c r="W72" s="399"/>
      <c r="X72" s="399"/>
      <c r="Y72" s="400"/>
      <c r="Z72" s="400"/>
      <c r="AA72" s="379">
        <f>AD72*AC38</f>
        <v>0</v>
      </c>
      <c r="AB72" s="380"/>
      <c r="AC72" s="380" t="s">
        <v>4379</v>
      </c>
      <c r="AD72" s="380">
        <f>IF((IF(SUMIFS(W42:W47,V42:V47,"paleta")&gt;0,"paleta",0))="paleta",0,IF(AA70="NE",AC49,AC56))</f>
        <v>0</v>
      </c>
      <c r="AE72" s="381" t="s">
        <v>4323</v>
      </c>
      <c r="AF72" s="787"/>
      <c r="AG72" s="400"/>
      <c r="AH72" s="413"/>
      <c r="AI72" s="400"/>
      <c r="AJ72" s="343"/>
    </row>
    <row r="73" spans="1:36" ht="16.5" customHeight="1" thickBot="1">
      <c r="D73" s="337"/>
      <c r="E73" s="337"/>
      <c r="F73" s="337"/>
      <c r="G73" s="337"/>
      <c r="H73" s="337"/>
      <c r="I73" s="337"/>
      <c r="J73" s="337"/>
      <c r="M73" s="382"/>
      <c r="N73" s="383"/>
      <c r="O73" s="383"/>
      <c r="P73" s="383"/>
      <c r="Q73" s="383"/>
      <c r="R73" s="383"/>
      <c r="S73" s="383"/>
      <c r="T73" s="383"/>
      <c r="U73" s="383"/>
      <c r="V73" s="383"/>
      <c r="W73" s="383"/>
      <c r="X73" s="383"/>
      <c r="Y73" s="384"/>
      <c r="Z73" s="384"/>
      <c r="AA73" s="384"/>
      <c r="AB73" s="384"/>
      <c r="AC73" s="384"/>
      <c r="AD73" s="384"/>
      <c r="AE73" s="384"/>
      <c r="AF73" s="384"/>
      <c r="AG73" s="384"/>
      <c r="AH73" s="384"/>
      <c r="AI73" s="384"/>
      <c r="AJ73" s="385"/>
    </row>
    <row r="74" spans="1:36" ht="19.5" customHeight="1">
      <c r="D74" s="337"/>
      <c r="E74" s="392"/>
      <c r="F74" s="392"/>
      <c r="G74" s="392"/>
      <c r="H74" s="392"/>
      <c r="I74" s="392"/>
      <c r="J74" s="392"/>
      <c r="U74" s="1"/>
      <c r="V74" s="1"/>
      <c r="W74" s="1"/>
      <c r="X74" s="1"/>
    </row>
    <row r="75" spans="1:36" ht="15.75" customHeight="1">
      <c r="D75" s="337"/>
      <c r="E75" s="337"/>
      <c r="F75" s="337"/>
      <c r="G75" s="337"/>
      <c r="H75" s="337"/>
      <c r="I75" s="337"/>
      <c r="J75" s="337"/>
      <c r="U75" s="1"/>
      <c r="V75" s="1"/>
      <c r="W75" s="1"/>
      <c r="X75" s="1"/>
      <c r="AD75" s="393"/>
    </row>
    <row r="76" spans="1:36" ht="15" outlineLevel="1">
      <c r="E76" s="337"/>
      <c r="F76" s="337"/>
      <c r="G76" s="337"/>
      <c r="H76" s="337"/>
      <c r="I76" s="337"/>
      <c r="J76" s="337"/>
      <c r="Y76" s="12"/>
    </row>
    <row r="77" spans="1:36" ht="23.25" outlineLevel="4">
      <c r="E77" s="337"/>
      <c r="F77" s="337"/>
      <c r="G77" s="337"/>
      <c r="H77" s="337"/>
      <c r="I77" s="337"/>
      <c r="J77" s="337"/>
      <c r="AA77" s="421"/>
      <c r="AB77" s="421"/>
      <c r="AC77" s="421"/>
      <c r="AD77" s="421"/>
      <c r="AE77" s="421"/>
      <c r="AF77" s="421"/>
      <c r="AG77" s="421"/>
    </row>
    <row r="78" spans="1:36" ht="15" outlineLevel="4">
      <c r="E78" s="337"/>
      <c r="F78" s="337"/>
      <c r="G78" s="337"/>
      <c r="H78" s="337"/>
      <c r="I78" s="337"/>
      <c r="J78" s="337"/>
      <c r="AA78" s="228"/>
      <c r="AB78" s="420"/>
      <c r="AC78" s="420"/>
      <c r="AD78" s="420"/>
      <c r="AE78" s="420"/>
      <c r="AF78" s="174"/>
      <c r="AG78" s="174"/>
    </row>
    <row r="79" spans="1:36" ht="15" outlineLevel="4">
      <c r="E79" s="337"/>
      <c r="F79" s="337"/>
      <c r="G79" s="337"/>
      <c r="H79" s="337"/>
      <c r="I79" s="337"/>
      <c r="J79" s="337"/>
      <c r="AA79"/>
      <c r="AB79" s="420"/>
      <c r="AC79" s="420"/>
      <c r="AD79" s="420"/>
      <c r="AE79" s="420"/>
      <c r="AF79" s="174"/>
      <c r="AG79" s="174"/>
    </row>
    <row r="80" spans="1:36" ht="15" outlineLevel="4">
      <c r="E80" s="337"/>
      <c r="F80" s="337"/>
      <c r="G80" s="337"/>
      <c r="H80" s="337"/>
      <c r="I80" s="337"/>
      <c r="J80" s="337"/>
      <c r="AA80"/>
      <c r="AB80"/>
      <c r="AC80"/>
      <c r="AD80"/>
      <c r="AE80"/>
      <c r="AF80"/>
      <c r="AG80" s="174"/>
    </row>
    <row r="81" spans="1:32" ht="15" outlineLevel="4">
      <c r="E81" s="337"/>
      <c r="F81" s="337"/>
      <c r="G81" s="337"/>
      <c r="H81" s="337"/>
      <c r="I81" s="337"/>
      <c r="J81" s="337"/>
    </row>
    <row r="82" spans="1:32" ht="15" outlineLevel="4">
      <c r="E82" s="337"/>
      <c r="F82" s="337"/>
      <c r="G82" s="337"/>
      <c r="H82" s="337"/>
      <c r="I82" s="337"/>
      <c r="J82" s="337"/>
    </row>
    <row r="83" spans="1:32" ht="15" outlineLevel="4">
      <c r="E83" s="337"/>
      <c r="F83" s="337"/>
      <c r="G83" s="337"/>
      <c r="H83" s="337"/>
      <c r="I83" s="337"/>
      <c r="J83" s="337"/>
    </row>
    <row r="84" spans="1:32" ht="15.75" outlineLevel="4">
      <c r="Z84" s="259"/>
    </row>
    <row r="85" spans="1:32" ht="15.75" outlineLevel="4">
      <c r="Y85" s="259"/>
      <c r="AB85" s="419"/>
      <c r="AC85" s="419"/>
      <c r="AD85" s="419"/>
      <c r="AE85" s="419"/>
      <c r="AF85" s="419"/>
    </row>
    <row r="86" spans="1:32" ht="15"/>
    <row r="87" spans="1:32" ht="21">
      <c r="E87" s="386"/>
      <c r="F87" s="386"/>
      <c r="G87" s="386"/>
      <c r="H87" s="387"/>
      <c r="I87" s="387"/>
      <c r="J87" s="387"/>
    </row>
    <row r="88" spans="1:32" ht="26.25" customHeight="1">
      <c r="B88" s="238"/>
      <c r="E88" s="337"/>
      <c r="F88" s="337"/>
      <c r="G88" s="337"/>
      <c r="H88" s="337"/>
      <c r="I88" s="337"/>
      <c r="J88" s="337"/>
      <c r="Z88" s="259"/>
    </row>
    <row r="89" spans="1:32" ht="15">
      <c r="A89" s="396"/>
      <c r="B89" s="160"/>
      <c r="D89" s="337"/>
      <c r="E89" s="389"/>
      <c r="F89" s="389"/>
      <c r="G89" s="389"/>
      <c r="H89" s="389"/>
      <c r="I89" s="389"/>
      <c r="J89" s="389"/>
    </row>
    <row r="90" spans="1:32" ht="18" customHeight="1">
      <c r="A90" s="396"/>
      <c r="B90" s="160"/>
      <c r="D90" s="337"/>
      <c r="E90" s="390"/>
      <c r="F90" s="390"/>
      <c r="G90" s="390"/>
      <c r="H90" s="390"/>
      <c r="I90" s="390"/>
      <c r="J90" s="390"/>
    </row>
    <row r="91" spans="1:32" ht="15">
      <c r="B91" s="337"/>
      <c r="D91" s="337"/>
      <c r="E91" s="337"/>
      <c r="F91" s="337"/>
      <c r="G91" s="337"/>
      <c r="H91" s="337"/>
      <c r="I91" s="337"/>
      <c r="J91" s="337"/>
    </row>
    <row r="92" spans="1:32" ht="15">
      <c r="D92" s="337"/>
      <c r="E92" s="337"/>
      <c r="F92" s="337"/>
      <c r="G92" s="337"/>
      <c r="H92" s="337"/>
      <c r="I92" s="337"/>
      <c r="J92" s="337"/>
    </row>
    <row r="93" spans="1:32" ht="16.5" customHeight="1">
      <c r="D93" s="337"/>
      <c r="E93" s="389"/>
      <c r="F93" s="389"/>
      <c r="G93" s="389"/>
      <c r="H93" s="337"/>
      <c r="I93" s="337"/>
      <c r="J93" s="337"/>
    </row>
    <row r="94" spans="1:32" ht="16.5" customHeight="1">
      <c r="D94" s="337"/>
      <c r="E94" s="390"/>
      <c r="F94" s="390"/>
      <c r="G94" s="390"/>
      <c r="H94" s="390"/>
      <c r="I94" s="390"/>
      <c r="J94" s="390"/>
    </row>
    <row r="95" spans="1:32" ht="15">
      <c r="E95" s="337"/>
      <c r="F95" s="337"/>
      <c r="G95" s="337"/>
      <c r="H95" s="390"/>
      <c r="I95" s="390"/>
      <c r="J95" s="390"/>
    </row>
    <row r="96" spans="1:32" ht="15">
      <c r="D96" s="337"/>
      <c r="E96" s="337"/>
      <c r="F96" s="337"/>
      <c r="G96" s="337"/>
      <c r="H96" s="337"/>
      <c r="I96" s="337"/>
      <c r="J96" s="337"/>
    </row>
    <row r="97" spans="1:10" ht="18.75">
      <c r="D97" s="337"/>
      <c r="E97" s="392"/>
      <c r="F97" s="392"/>
      <c r="G97" s="392"/>
      <c r="H97" s="392"/>
      <c r="I97" s="392"/>
      <c r="J97" s="392"/>
    </row>
    <row r="98" spans="1:10" ht="15">
      <c r="D98" s="337"/>
      <c r="E98" s="337"/>
      <c r="F98" s="337"/>
      <c r="G98" s="337"/>
      <c r="H98" s="337"/>
      <c r="I98" s="337"/>
      <c r="J98" s="337"/>
    </row>
    <row r="99" spans="1:10" ht="15">
      <c r="E99" s="337"/>
      <c r="F99" s="337"/>
      <c r="G99" s="337"/>
      <c r="H99" s="337"/>
      <c r="I99" s="337"/>
      <c r="J99" s="337"/>
    </row>
    <row r="100" spans="1:10" ht="15">
      <c r="E100" s="337"/>
      <c r="F100" s="337"/>
      <c r="G100" s="337"/>
      <c r="H100" s="337"/>
      <c r="I100" s="337"/>
      <c r="J100" s="337"/>
    </row>
    <row r="101" spans="1:10" ht="15">
      <c r="E101" s="337"/>
      <c r="F101" s="337"/>
      <c r="G101" s="337"/>
      <c r="H101" s="337"/>
      <c r="I101" s="337"/>
      <c r="J101" s="337"/>
    </row>
    <row r="102" spans="1:10" ht="15">
      <c r="E102" s="337"/>
      <c r="F102" s="337"/>
      <c r="G102" s="337"/>
      <c r="H102" s="337"/>
      <c r="I102" s="337"/>
      <c r="J102" s="337"/>
    </row>
    <row r="103" spans="1:10" ht="15">
      <c r="E103" s="337"/>
      <c r="F103" s="337"/>
      <c r="G103" s="337"/>
      <c r="H103" s="337"/>
      <c r="I103" s="337"/>
      <c r="J103" s="337"/>
    </row>
    <row r="104" spans="1:10" ht="15">
      <c r="E104" s="337"/>
      <c r="F104" s="337"/>
      <c r="G104" s="337"/>
      <c r="H104" s="337"/>
      <c r="I104" s="337"/>
      <c r="J104" s="337"/>
    </row>
    <row r="105" spans="1:10" ht="14.85" customHeight="1">
      <c r="E105" s="337"/>
      <c r="F105" s="337"/>
      <c r="G105" s="337"/>
      <c r="H105" s="337"/>
      <c r="I105" s="337"/>
      <c r="J105" s="337"/>
    </row>
    <row r="106" spans="1:10" ht="14.85" customHeight="1">
      <c r="E106" s="337"/>
      <c r="F106" s="337"/>
      <c r="G106" s="337"/>
      <c r="H106" s="337"/>
      <c r="I106" s="337"/>
      <c r="J106" s="337"/>
    </row>
    <row r="107" spans="1:10" ht="14.85" customHeight="1"/>
    <row r="108" spans="1:10" ht="14.85" customHeight="1"/>
    <row r="109" spans="1:10" ht="14.85" customHeight="1"/>
    <row r="110" spans="1:10" ht="27" customHeight="1">
      <c r="E110" s="386"/>
      <c r="F110" s="386"/>
      <c r="G110" s="386"/>
      <c r="H110" s="387"/>
      <c r="I110" s="387"/>
      <c r="J110" s="387"/>
    </row>
    <row r="111" spans="1:10" ht="18" customHeight="1">
      <c r="B111" s="238"/>
      <c r="E111" s="337"/>
      <c r="F111" s="337"/>
      <c r="G111" s="337"/>
      <c r="H111" s="337"/>
      <c r="I111" s="337"/>
      <c r="J111" s="337"/>
    </row>
    <row r="112" spans="1:10" ht="14.85" customHeight="1">
      <c r="A112" s="396"/>
      <c r="B112" s="160"/>
      <c r="D112" s="337"/>
      <c r="E112" s="389"/>
      <c r="F112" s="389"/>
      <c r="G112" s="389"/>
      <c r="H112" s="389"/>
      <c r="I112" s="389"/>
      <c r="J112" s="389"/>
    </row>
    <row r="113" spans="1:10" ht="14.85" customHeight="1">
      <c r="A113" s="396"/>
      <c r="B113" s="160"/>
      <c r="D113" s="337"/>
      <c r="E113" s="390"/>
      <c r="F113" s="390"/>
      <c r="G113" s="390"/>
      <c r="H113" s="390"/>
      <c r="I113" s="390"/>
      <c r="J113" s="390"/>
    </row>
    <row r="114" spans="1:10" ht="14.85" customHeight="1">
      <c r="B114" s="337"/>
      <c r="D114" s="337"/>
      <c r="E114" s="337"/>
      <c r="F114" s="337"/>
      <c r="G114" s="337"/>
      <c r="H114" s="337"/>
      <c r="I114" s="337"/>
      <c r="J114" s="337"/>
    </row>
    <row r="115" spans="1:10" ht="14.85" customHeight="1">
      <c r="D115" s="337"/>
      <c r="E115" s="337"/>
      <c r="F115" s="337"/>
      <c r="G115" s="337"/>
      <c r="H115" s="337"/>
      <c r="I115" s="337"/>
      <c r="J115" s="337"/>
    </row>
    <row r="116" spans="1:10" ht="14.85" customHeight="1">
      <c r="D116" s="337"/>
      <c r="E116" s="389"/>
      <c r="F116" s="389"/>
      <c r="G116" s="389"/>
      <c r="H116" s="337"/>
      <c r="I116" s="337"/>
      <c r="J116" s="337"/>
    </row>
    <row r="117" spans="1:10" ht="14.85" customHeight="1">
      <c r="D117" s="337"/>
      <c r="E117" s="390"/>
      <c r="F117" s="390"/>
      <c r="G117" s="390"/>
      <c r="H117" s="390"/>
      <c r="I117" s="390"/>
      <c r="J117" s="390"/>
    </row>
    <row r="118" spans="1:10" ht="14.85" customHeight="1">
      <c r="E118" s="337"/>
      <c r="F118" s="337"/>
      <c r="G118" s="337"/>
      <c r="H118" s="390"/>
      <c r="I118" s="390"/>
      <c r="J118" s="390"/>
    </row>
    <row r="119" spans="1:10" ht="14.85" customHeight="1">
      <c r="D119" s="337"/>
      <c r="E119" s="337"/>
      <c r="F119" s="337"/>
      <c r="G119" s="337"/>
      <c r="H119" s="337"/>
      <c r="I119" s="337"/>
      <c r="J119" s="337"/>
    </row>
    <row r="120" spans="1:10" ht="14.85" customHeight="1">
      <c r="D120" s="337"/>
      <c r="E120" s="392"/>
      <c r="F120" s="392"/>
      <c r="G120" s="392"/>
      <c r="H120" s="392"/>
      <c r="I120" s="392"/>
      <c r="J120" s="392"/>
    </row>
    <row r="121" spans="1:10" ht="14.85" customHeight="1">
      <c r="D121" s="337"/>
      <c r="E121" s="337"/>
      <c r="F121" s="337"/>
      <c r="G121" s="337"/>
      <c r="H121" s="337"/>
      <c r="I121" s="337"/>
      <c r="J121" s="337"/>
    </row>
    <row r="122" spans="1:10" ht="14.85" customHeight="1">
      <c r="E122" s="337"/>
      <c r="F122" s="337"/>
      <c r="G122" s="337"/>
      <c r="H122" s="337"/>
      <c r="I122" s="337"/>
      <c r="J122" s="337"/>
    </row>
    <row r="123" spans="1:10" ht="14.85" customHeight="1">
      <c r="E123" s="337"/>
      <c r="F123" s="337"/>
      <c r="G123" s="337"/>
      <c r="H123" s="337"/>
      <c r="I123" s="337"/>
      <c r="J123" s="337"/>
    </row>
    <row r="124" spans="1:10" ht="14.85" customHeight="1">
      <c r="E124" s="337"/>
      <c r="F124" s="337"/>
      <c r="G124" s="337"/>
      <c r="H124" s="337"/>
      <c r="I124" s="337"/>
      <c r="J124" s="337"/>
    </row>
    <row r="125" spans="1:10" ht="14.85" customHeight="1">
      <c r="E125" s="337"/>
      <c r="F125" s="337"/>
      <c r="G125" s="337"/>
      <c r="H125" s="337"/>
      <c r="I125" s="337"/>
      <c r="J125" s="337"/>
    </row>
    <row r="126" spans="1:10" ht="14.85" customHeight="1">
      <c r="E126" s="337"/>
      <c r="F126" s="337"/>
      <c r="G126" s="337"/>
      <c r="H126" s="337"/>
      <c r="I126" s="337"/>
      <c r="J126" s="337"/>
    </row>
    <row r="127" spans="1:10" ht="14.85" customHeight="1">
      <c r="E127" s="337"/>
      <c r="F127" s="337"/>
      <c r="G127" s="337"/>
      <c r="H127" s="337"/>
      <c r="I127" s="337"/>
      <c r="J127" s="337"/>
    </row>
    <row r="128" spans="1:10" ht="14.85" customHeight="1">
      <c r="E128" s="337"/>
      <c r="F128" s="337"/>
      <c r="G128" s="337"/>
      <c r="H128" s="337"/>
      <c r="I128" s="337"/>
      <c r="J128" s="337"/>
    </row>
    <row r="129" spans="1:10" ht="14.85" customHeight="1">
      <c r="E129" s="337"/>
      <c r="F129" s="337"/>
      <c r="G129" s="337"/>
      <c r="H129" s="337"/>
      <c r="I129" s="337"/>
      <c r="J129" s="337"/>
    </row>
    <row r="130" spans="1:10" ht="14.85" customHeight="1"/>
    <row r="131" spans="1:10" ht="14.85" customHeight="1"/>
    <row r="132" spans="1:10" ht="14.85" customHeight="1"/>
    <row r="133" spans="1:10" ht="18.75" customHeight="1">
      <c r="E133" s="386"/>
      <c r="F133" s="386"/>
      <c r="G133" s="386"/>
      <c r="H133" s="387"/>
      <c r="I133" s="387"/>
      <c r="J133" s="387"/>
    </row>
    <row r="134" spans="1:10" ht="19.5" customHeight="1">
      <c r="B134" s="238"/>
      <c r="E134" s="337"/>
      <c r="F134" s="337"/>
      <c r="G134" s="337"/>
      <c r="H134" s="337"/>
      <c r="I134" s="337"/>
      <c r="J134" s="337"/>
    </row>
    <row r="135" spans="1:10" ht="14.85" customHeight="1">
      <c r="A135" s="396"/>
      <c r="B135" s="160"/>
      <c r="D135" s="337"/>
      <c r="E135" s="389"/>
      <c r="F135" s="389"/>
      <c r="G135" s="389"/>
      <c r="H135" s="389"/>
      <c r="I135" s="389"/>
      <c r="J135" s="389"/>
    </row>
    <row r="136" spans="1:10" ht="14.85" customHeight="1">
      <c r="A136" s="396"/>
      <c r="B136" s="160"/>
      <c r="D136" s="337"/>
      <c r="E136" s="390"/>
      <c r="F136" s="390"/>
      <c r="G136" s="390"/>
      <c r="H136" s="390"/>
      <c r="I136" s="390"/>
      <c r="J136" s="390"/>
    </row>
    <row r="137" spans="1:10" ht="14.85" customHeight="1">
      <c r="B137" s="337"/>
      <c r="D137" s="337"/>
      <c r="E137" s="337"/>
      <c r="F137" s="337"/>
      <c r="G137" s="337"/>
      <c r="H137" s="337"/>
      <c r="I137" s="337"/>
      <c r="J137" s="337"/>
    </row>
    <row r="138" spans="1:10" ht="14.85" customHeight="1">
      <c r="D138" s="337"/>
      <c r="E138" s="337"/>
      <c r="F138" s="337"/>
      <c r="G138" s="337"/>
      <c r="H138" s="337"/>
      <c r="I138" s="337"/>
      <c r="J138" s="337"/>
    </row>
    <row r="139" spans="1:10" ht="14.85" customHeight="1">
      <c r="D139" s="337"/>
      <c r="E139" s="389"/>
      <c r="F139" s="389"/>
      <c r="G139" s="389"/>
      <c r="H139" s="337"/>
      <c r="I139" s="337"/>
      <c r="J139" s="337"/>
    </row>
    <row r="140" spans="1:10" ht="14.85" customHeight="1">
      <c r="D140" s="337"/>
      <c r="E140" s="390"/>
      <c r="F140" s="390"/>
      <c r="G140" s="390"/>
      <c r="H140" s="390"/>
      <c r="I140" s="390"/>
      <c r="J140" s="390"/>
    </row>
    <row r="141" spans="1:10" ht="14.85" customHeight="1">
      <c r="E141" s="337"/>
      <c r="F141" s="337"/>
      <c r="G141" s="337"/>
      <c r="H141" s="390"/>
      <c r="I141" s="390"/>
      <c r="J141" s="390"/>
    </row>
    <row r="142" spans="1:10" ht="14.85" customHeight="1">
      <c r="D142" s="337"/>
      <c r="E142" s="337"/>
      <c r="F142" s="337"/>
      <c r="G142" s="337"/>
      <c r="H142" s="337"/>
      <c r="I142" s="337"/>
      <c r="J142" s="337"/>
    </row>
    <row r="143" spans="1:10" ht="14.85" customHeight="1">
      <c r="D143" s="337"/>
      <c r="E143" s="392"/>
      <c r="F143" s="392"/>
      <c r="G143" s="392"/>
      <c r="H143" s="392"/>
      <c r="I143" s="392"/>
      <c r="J143" s="392"/>
    </row>
    <row r="144" spans="1:10" ht="14.85" customHeight="1">
      <c r="D144" s="337"/>
      <c r="E144" s="337"/>
      <c r="F144" s="337"/>
      <c r="G144" s="337"/>
      <c r="H144" s="337"/>
      <c r="I144" s="337"/>
      <c r="J144" s="337"/>
    </row>
    <row r="145" spans="1:10" ht="14.85" customHeight="1">
      <c r="E145" s="337"/>
      <c r="F145" s="337"/>
      <c r="G145" s="337"/>
      <c r="H145" s="337"/>
      <c r="I145" s="337"/>
      <c r="J145" s="337"/>
    </row>
    <row r="146" spans="1:10" ht="14.85" customHeight="1">
      <c r="E146" s="337"/>
      <c r="F146" s="337"/>
      <c r="G146" s="337"/>
      <c r="H146" s="337"/>
      <c r="I146" s="337"/>
      <c r="J146" s="337"/>
    </row>
    <row r="147" spans="1:10" ht="14.85" customHeight="1">
      <c r="E147" s="337"/>
      <c r="F147" s="337"/>
      <c r="G147" s="337"/>
      <c r="H147" s="337"/>
      <c r="I147" s="337"/>
      <c r="J147" s="337"/>
    </row>
    <row r="148" spans="1:10" ht="14.85" customHeight="1">
      <c r="E148" s="337"/>
      <c r="F148" s="337"/>
      <c r="G148" s="337"/>
      <c r="H148" s="337"/>
      <c r="I148" s="337"/>
      <c r="J148" s="337"/>
    </row>
    <row r="149" spans="1:10" ht="14.85" customHeight="1">
      <c r="E149" s="337"/>
      <c r="F149" s="337"/>
      <c r="G149" s="337"/>
      <c r="H149" s="337"/>
      <c r="I149" s="337"/>
      <c r="J149" s="337"/>
    </row>
    <row r="150" spans="1:10" ht="14.85" customHeight="1">
      <c r="E150" s="337"/>
      <c r="F150" s="337"/>
      <c r="G150" s="337"/>
      <c r="H150" s="337"/>
      <c r="I150" s="337"/>
      <c r="J150" s="337"/>
    </row>
    <row r="151" spans="1:10" ht="14.85" customHeight="1">
      <c r="E151" s="337"/>
      <c r="F151" s="337"/>
      <c r="G151" s="337"/>
      <c r="H151" s="337"/>
      <c r="I151" s="337"/>
      <c r="J151" s="337"/>
    </row>
    <row r="152" spans="1:10" ht="14.85" customHeight="1">
      <c r="E152" s="337"/>
      <c r="F152" s="337"/>
      <c r="G152" s="337"/>
      <c r="H152" s="337"/>
      <c r="I152" s="337"/>
      <c r="J152" s="337"/>
    </row>
    <row r="153" spans="1:10" ht="14.85" customHeight="1"/>
    <row r="154" spans="1:10" ht="14.85" customHeight="1"/>
    <row r="155" spans="1:10" ht="14.85" customHeight="1"/>
    <row r="156" spans="1:10" ht="23.25" customHeight="1">
      <c r="E156" s="386"/>
      <c r="F156" s="386"/>
      <c r="G156" s="386"/>
      <c r="H156" s="387"/>
      <c r="I156" s="387"/>
      <c r="J156" s="387"/>
    </row>
    <row r="157" spans="1:10" ht="14.85" customHeight="1">
      <c r="B157" s="238"/>
      <c r="E157" s="337"/>
      <c r="F157" s="337"/>
      <c r="G157" s="337"/>
      <c r="H157" s="337"/>
      <c r="I157" s="337"/>
      <c r="J157" s="337"/>
    </row>
    <row r="158" spans="1:10" ht="14.85" customHeight="1">
      <c r="A158" s="396"/>
      <c r="B158" s="160"/>
      <c r="D158" s="337"/>
      <c r="E158" s="389"/>
      <c r="F158" s="389"/>
      <c r="G158" s="389"/>
      <c r="H158" s="389"/>
      <c r="I158" s="389"/>
      <c r="J158" s="389"/>
    </row>
    <row r="159" spans="1:10" ht="14.85" customHeight="1">
      <c r="A159" s="396"/>
      <c r="B159" s="160"/>
      <c r="D159" s="337"/>
      <c r="E159" s="390"/>
      <c r="F159" s="390"/>
      <c r="G159" s="390"/>
      <c r="H159" s="390"/>
      <c r="I159" s="390"/>
      <c r="J159" s="390"/>
    </row>
    <row r="160" spans="1:10" ht="14.85" customHeight="1">
      <c r="B160" s="337"/>
      <c r="D160" s="337"/>
      <c r="E160" s="337"/>
      <c r="F160" s="337"/>
      <c r="G160" s="337"/>
      <c r="H160" s="337"/>
      <c r="I160" s="337"/>
      <c r="J160" s="337"/>
    </row>
    <row r="161" spans="4:10" ht="14.85" customHeight="1">
      <c r="D161" s="337"/>
      <c r="E161" s="337"/>
      <c r="F161" s="337"/>
      <c r="G161" s="337"/>
      <c r="H161" s="337"/>
      <c r="I161" s="337"/>
      <c r="J161" s="337"/>
    </row>
    <row r="162" spans="4:10" ht="14.85" customHeight="1">
      <c r="D162" s="337"/>
      <c r="E162" s="389"/>
      <c r="F162" s="389"/>
      <c r="G162" s="389"/>
      <c r="H162" s="337"/>
      <c r="I162" s="337"/>
      <c r="J162" s="337"/>
    </row>
    <row r="163" spans="4:10" ht="14.85" customHeight="1">
      <c r="D163" s="337"/>
      <c r="E163" s="390"/>
      <c r="F163" s="390"/>
      <c r="G163" s="390"/>
      <c r="H163" s="390"/>
      <c r="I163" s="390"/>
      <c r="J163" s="390"/>
    </row>
    <row r="164" spans="4:10" ht="14.85" customHeight="1">
      <c r="E164" s="337"/>
      <c r="F164" s="337"/>
      <c r="G164" s="337"/>
      <c r="H164" s="390"/>
      <c r="I164" s="390"/>
      <c r="J164" s="390"/>
    </row>
    <row r="165" spans="4:10" ht="14.85" customHeight="1">
      <c r="D165" s="337"/>
      <c r="E165" s="337"/>
      <c r="F165" s="337"/>
      <c r="G165" s="337"/>
      <c r="H165" s="337"/>
      <c r="I165" s="337"/>
      <c r="J165" s="337"/>
    </row>
    <row r="166" spans="4:10" ht="14.85" customHeight="1">
      <c r="D166" s="337"/>
      <c r="E166" s="392"/>
      <c r="F166" s="392"/>
      <c r="G166" s="392"/>
      <c r="H166" s="392"/>
      <c r="I166" s="392"/>
      <c r="J166" s="392"/>
    </row>
    <row r="167" spans="4:10" ht="14.85" customHeight="1">
      <c r="D167" s="337"/>
      <c r="E167" s="337"/>
      <c r="F167" s="337"/>
      <c r="G167" s="337"/>
      <c r="H167" s="337"/>
      <c r="I167" s="337"/>
      <c r="J167" s="337"/>
    </row>
    <row r="168" spans="4:10" ht="14.85" customHeight="1">
      <c r="E168" s="337"/>
      <c r="F168" s="337"/>
      <c r="G168" s="337"/>
      <c r="H168" s="337"/>
      <c r="I168" s="337"/>
      <c r="J168" s="337"/>
    </row>
    <row r="169" spans="4:10" ht="14.85" customHeight="1">
      <c r="E169" s="337"/>
      <c r="F169" s="337"/>
      <c r="G169" s="337"/>
      <c r="H169" s="337"/>
      <c r="I169" s="337"/>
      <c r="J169" s="337"/>
    </row>
    <row r="170" spans="4:10" ht="14.85" customHeight="1">
      <c r="E170" s="337"/>
      <c r="F170" s="337"/>
      <c r="G170" s="337"/>
      <c r="H170" s="337"/>
      <c r="I170" s="337"/>
      <c r="J170" s="337"/>
    </row>
    <row r="171" spans="4:10" ht="14.85" customHeight="1">
      <c r="E171" s="337"/>
      <c r="F171" s="337"/>
      <c r="G171" s="337"/>
      <c r="H171" s="337"/>
      <c r="I171" s="337"/>
      <c r="J171" s="337"/>
    </row>
    <row r="172" spans="4:10" ht="14.85" customHeight="1">
      <c r="E172" s="337"/>
      <c r="F172" s="337"/>
      <c r="G172" s="337"/>
      <c r="H172" s="337"/>
      <c r="I172" s="337"/>
      <c r="J172" s="337"/>
    </row>
    <row r="173" spans="4:10" ht="14.85" customHeight="1">
      <c r="E173" s="337"/>
      <c r="F173" s="337"/>
      <c r="G173" s="337"/>
      <c r="H173" s="337"/>
      <c r="I173" s="337"/>
      <c r="J173" s="337"/>
    </row>
    <row r="174" spans="4:10" ht="14.85" customHeight="1">
      <c r="E174" s="337"/>
      <c r="F174" s="337"/>
      <c r="G174" s="337"/>
      <c r="H174" s="337"/>
      <c r="I174" s="337"/>
      <c r="J174" s="337"/>
    </row>
    <row r="175" spans="4:10" ht="14.85" customHeight="1">
      <c r="E175" s="337"/>
      <c r="F175" s="337"/>
      <c r="G175" s="337"/>
      <c r="H175" s="337"/>
      <c r="I175" s="337"/>
      <c r="J175" s="337"/>
    </row>
    <row r="176" spans="4:10"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32.85" customHeight="1"/>
    <row r="188" ht="14.85" customHeight="1"/>
    <row r="189" ht="14.85" customHeight="1"/>
    <row r="190" ht="14.85" customHeight="1"/>
  </sheetData>
  <sheetProtection selectLockedCells="1"/>
  <mergeCells count="7">
    <mergeCell ref="B14:B15"/>
    <mergeCell ref="AF71:AF72"/>
    <mergeCell ref="AA5:AC5"/>
    <mergeCell ref="AD5:AF5"/>
    <mergeCell ref="C9:C10"/>
    <mergeCell ref="AD11:AF11"/>
    <mergeCell ref="AD33:AE33"/>
  </mergeCells>
  <conditionalFormatting sqref="E143">
    <cfRule type="expression" dxfId="91" priority="66">
      <formula>$E$133=$E$143</formula>
    </cfRule>
  </conditionalFormatting>
  <conditionalFormatting sqref="E166">
    <cfRule type="expression" dxfId="90" priority="46">
      <formula>$E$133=$E$143</formula>
    </cfRule>
  </conditionalFormatting>
  <conditionalFormatting sqref="E141:G141">
    <cfRule type="containsText" dxfId="89" priority="53" operator="containsText" text="balík">
      <formula>NOT(ISERROR(SEARCH("balík",E141)))</formula>
    </cfRule>
  </conditionalFormatting>
  <conditionalFormatting sqref="E164:G164">
    <cfRule type="containsText" dxfId="88" priority="41" operator="containsText" text="balík">
      <formula>NOT(ISERROR(SEARCH("balík",E164)))</formula>
    </cfRule>
  </conditionalFormatting>
  <conditionalFormatting sqref="E83:J83 F84">
    <cfRule type="containsText" dxfId="87" priority="92" operator="containsText" text="výsledn">
      <formula>NOT(ISERROR(SEARCH("výsledn",E83)))</formula>
    </cfRule>
  </conditionalFormatting>
  <conditionalFormatting sqref="E91:J91">
    <cfRule type="containsText" dxfId="86" priority="63" operator="containsText" text="balík">
      <formula>NOT(ISERROR(SEARCH("balík",E91)))</formula>
    </cfRule>
    <cfRule type="containsText" dxfId="85" priority="62" operator="containsText" text="paleta">
      <formula>NOT(ISERROR(SEARCH("paleta",E91)))</formula>
    </cfRule>
  </conditionalFormatting>
  <conditionalFormatting sqref="E129:J129">
    <cfRule type="containsText" dxfId="84" priority="77" operator="containsText" text="výsledn">
      <formula>NOT(ISERROR(SEARCH("výsledn",E129)))</formula>
    </cfRule>
  </conditionalFormatting>
  <conditionalFormatting sqref="E137:J137">
    <cfRule type="containsText" dxfId="83" priority="51" operator="containsText" text="paleta">
      <formula>NOT(ISERROR(SEARCH("paleta",E137)))</formula>
    </cfRule>
    <cfRule type="containsText" dxfId="82" priority="52" operator="containsText" text="balík">
      <formula>NOT(ISERROR(SEARCH("balík",E137)))</formula>
    </cfRule>
  </conditionalFormatting>
  <conditionalFormatting sqref="E152:J152">
    <cfRule type="containsText" dxfId="81" priority="70" operator="containsText" text="výsledn">
      <formula>NOT(ISERROR(SEARCH("výsledn",E152)))</formula>
    </cfRule>
  </conditionalFormatting>
  <conditionalFormatting sqref="E160:J160">
    <cfRule type="containsText" dxfId="80" priority="39" operator="containsText" text="paleta">
      <formula>NOT(ISERROR(SEARCH("paleta",E160)))</formula>
    </cfRule>
    <cfRule type="containsText" dxfId="79" priority="40" operator="containsText" text="balík">
      <formula>NOT(ISERROR(SEARCH("balík",E160)))</formula>
    </cfRule>
  </conditionalFormatting>
  <conditionalFormatting sqref="E175:J175">
    <cfRule type="containsText" dxfId="78" priority="50" operator="containsText" text="výsledn">
      <formula>NOT(ISERROR(SEARCH("výsledn",E175)))</formula>
    </cfRule>
  </conditionalFormatting>
  <conditionalFormatting sqref="F82">
    <cfRule type="expression" dxfId="77" priority="83">
      <formula>F83="výsledná zásilka"</formula>
    </cfRule>
  </conditionalFormatting>
  <conditionalFormatting sqref="F128">
    <cfRule type="expression" dxfId="76" priority="71">
      <formula>F129="výsledná zásilka"</formula>
    </cfRule>
  </conditionalFormatting>
  <conditionalFormatting sqref="F143">
    <cfRule type="expression" dxfId="75" priority="69">
      <formula>$F$133=$F$143</formula>
    </cfRule>
  </conditionalFormatting>
  <conditionalFormatting sqref="F166">
    <cfRule type="expression" dxfId="74" priority="49">
      <formula>$F$133=$F$143</formula>
    </cfRule>
  </conditionalFormatting>
  <conditionalFormatting sqref="F174">
    <cfRule type="expression" dxfId="73" priority="44">
      <formula>F175="výsledná zásilka"</formula>
    </cfRule>
  </conditionalFormatting>
  <conditionalFormatting sqref="G143">
    <cfRule type="expression" dxfId="72" priority="65">
      <formula>$G$133=$G$143</formula>
    </cfRule>
  </conditionalFormatting>
  <conditionalFormatting sqref="G166">
    <cfRule type="expression" dxfId="71" priority="43">
      <formula>$G$133=$G$143</formula>
    </cfRule>
  </conditionalFormatting>
  <conditionalFormatting sqref="H82">
    <cfRule type="expression" dxfId="70" priority="84">
      <formula>H83="výsledná zásilka"</formula>
    </cfRule>
  </conditionalFormatting>
  <conditionalFormatting sqref="H128">
    <cfRule type="expression" dxfId="69" priority="72">
      <formula>H129="výsledná zásilka"</formula>
    </cfRule>
  </conditionalFormatting>
  <conditionalFormatting sqref="H143">
    <cfRule type="expression" dxfId="68" priority="68">
      <formula>$H$143=$H$133</formula>
    </cfRule>
  </conditionalFormatting>
  <conditionalFormatting sqref="H166">
    <cfRule type="expression" dxfId="67" priority="48">
      <formula>$H$143=$H$133</formula>
    </cfRule>
  </conditionalFormatting>
  <conditionalFormatting sqref="H174">
    <cfRule type="expression" dxfId="66" priority="45">
      <formula>H175="výsledná zásilka"</formula>
    </cfRule>
  </conditionalFormatting>
  <conditionalFormatting sqref="I143">
    <cfRule type="expression" dxfId="65" priority="64">
      <formula>$I$133=$I$143</formula>
    </cfRule>
  </conditionalFormatting>
  <conditionalFormatting sqref="I166">
    <cfRule type="expression" dxfId="64" priority="42">
      <formula>$I$133=$I$143</formula>
    </cfRule>
  </conditionalFormatting>
  <conditionalFormatting sqref="J143">
    <cfRule type="expression" dxfId="63" priority="67">
      <formula>$J$74=$J$54</formula>
    </cfRule>
  </conditionalFormatting>
  <conditionalFormatting sqref="J166">
    <cfRule type="expression" dxfId="62" priority="47">
      <formula>$J$74=$J$54</formula>
    </cfRule>
  </conditionalFormatting>
  <conditionalFormatting sqref="N42:R47">
    <cfRule type="cellIs" dxfId="61" priority="1" operator="equal">
      <formula>"ne"</formula>
    </cfRule>
  </conditionalFormatting>
  <conditionalFormatting sqref="U42:U47">
    <cfRule type="containsText" dxfId="60" priority="2" operator="containsText" text="pale">
      <formula>NOT(ISERROR(SEARCH("pale",U42)))</formula>
    </cfRule>
  </conditionalFormatting>
  <conditionalFormatting sqref="W39">
    <cfRule type="cellIs" dxfId="59" priority="9" operator="lessThan">
      <formula>0</formula>
    </cfRule>
    <cfRule type="cellIs" dxfId="58" priority="10" operator="greaterThan">
      <formula>0</formula>
    </cfRule>
  </conditionalFormatting>
  <conditionalFormatting sqref="W42:W47">
    <cfRule type="cellIs" dxfId="57" priority="5" operator="equal">
      <formula>0</formula>
    </cfRule>
  </conditionalFormatting>
  <conditionalFormatting sqref="X39">
    <cfRule type="containsText" dxfId="56" priority="11" operator="containsText" text="pře">
      <formula>NOT(ISERROR(SEARCH("pře",X39)))</formula>
    </cfRule>
  </conditionalFormatting>
  <conditionalFormatting sqref="AA58">
    <cfRule type="expression" dxfId="55" priority="16">
      <formula>$AA$58=$AG$58</formula>
    </cfRule>
  </conditionalFormatting>
  <conditionalFormatting sqref="AA42:AF42 AA43:AA47 AC43:AF47">
    <cfRule type="duplicateValues" dxfId="54" priority="26"/>
  </conditionalFormatting>
  <conditionalFormatting sqref="AA42:AF47">
    <cfRule type="cellIs" dxfId="53" priority="20" operator="equal">
      <formula>0</formula>
    </cfRule>
  </conditionalFormatting>
  <conditionalFormatting sqref="AA43:AF43 AA44:AA47">
    <cfRule type="duplicateValues" dxfId="52" priority="25"/>
  </conditionalFormatting>
  <conditionalFormatting sqref="AA44:AF44 AA45:AA47">
    <cfRule type="duplicateValues" dxfId="51" priority="24"/>
  </conditionalFormatting>
  <conditionalFormatting sqref="AA45:AF45">
    <cfRule type="duplicateValues" dxfId="50" priority="23"/>
  </conditionalFormatting>
  <conditionalFormatting sqref="AA46:AF46">
    <cfRule type="duplicateValues" dxfId="49" priority="22"/>
  </conditionalFormatting>
  <conditionalFormatting sqref="AA47:AF47">
    <cfRule type="duplicateValues" dxfId="48" priority="21"/>
  </conditionalFormatting>
  <conditionalFormatting sqref="AA58:AF58">
    <cfRule type="cellIs" dxfId="47" priority="17" operator="equal">
      <formula>0</formula>
    </cfRule>
  </conditionalFormatting>
  <conditionalFormatting sqref="AC58">
    <cfRule type="expression" dxfId="46" priority="15">
      <formula>$AC$58=$AG$58</formula>
    </cfRule>
  </conditionalFormatting>
  <conditionalFormatting sqref="AD58">
    <cfRule type="expression" dxfId="45" priority="768">
      <formula>$AD$58=$AH$69</formula>
    </cfRule>
    <cfRule type="expression" dxfId="44" priority="769">
      <formula>$AD$58=$AG$58</formula>
    </cfRule>
  </conditionalFormatting>
  <conditionalFormatting sqref="AE58">
    <cfRule type="expression" dxfId="43" priority="770">
      <formula>$AE$58=$AH$69</formula>
    </cfRule>
    <cfRule type="expression" dxfId="42" priority="771">
      <formula>$AE$58=$AG$58</formula>
    </cfRule>
  </conditionalFormatting>
  <conditionalFormatting sqref="AF58">
    <cfRule type="expression" dxfId="41" priority="772">
      <formula>$AF$58=$AH$69</formula>
    </cfRule>
    <cfRule type="expression" dxfId="40" priority="773">
      <formula>$AF$58=$AG$58</formula>
    </cfRule>
  </conditionalFormatting>
  <conditionalFormatting sqref="AF71:AF72">
    <cfRule type="cellIs" dxfId="39" priority="774" operator="equal">
      <formula>0</formula>
    </cfRule>
    <cfRule type="cellIs" dxfId="38" priority="775" operator="equal">
      <formula>$AH$69</formula>
    </cfRule>
  </conditionalFormatting>
  <conditionalFormatting sqref="AH77:AH82">
    <cfRule type="colorScale" priority="36">
      <colorScale>
        <cfvo type="min"/>
        <cfvo type="percentile" val="50"/>
        <cfvo type="max"/>
        <color rgb="FF63BE7B"/>
        <color rgb="FFFFEB84"/>
        <color rgb="FFF8696B"/>
      </colorScale>
    </cfRule>
  </conditionalFormatting>
  <conditionalFormatting sqref="AQ37:AS37">
    <cfRule type="containsText" dxfId="37" priority="31" operator="containsText" text="balík">
      <formula>NOT(ISERROR(SEARCH("balík",AQ37)))</formula>
    </cfRule>
  </conditionalFormatting>
  <conditionalFormatting sqref="AQ33:AV33">
    <cfRule type="containsText" dxfId="36" priority="33" operator="containsText" text="balík">
      <formula>NOT(ISERROR(SEARCH("balík",AQ33)))</formula>
    </cfRule>
    <cfRule type="containsText" dxfId="35" priority="32" operator="containsText" text="paleta">
      <formula>NOT(ISERROR(SEARCH("paleta",AQ33)))</formula>
    </cfRule>
  </conditionalFormatting>
  <conditionalFormatting sqref="AQ50:AV50">
    <cfRule type="containsText" dxfId="34" priority="35" operator="containsText" text="výsledn">
      <formula>NOT(ISERROR(SEARCH("výsledn",AQ50)))</formula>
    </cfRule>
  </conditionalFormatting>
  <conditionalFormatting sqref="BB37:BD37">
    <cfRule type="containsText" dxfId="33" priority="28" operator="containsText" text="balík">
      <formula>NOT(ISERROR(SEARCH("balík",BB37)))</formula>
    </cfRule>
  </conditionalFormatting>
  <conditionalFormatting sqref="BB33:BG33">
    <cfRule type="containsText" dxfId="32" priority="29" operator="containsText" text="paleta">
      <formula>NOT(ISERROR(SEARCH("paleta",BB33)))</formula>
    </cfRule>
    <cfRule type="containsText" dxfId="31" priority="30" operator="containsText" text="balík">
      <formula>NOT(ISERROR(SEARCH("balík",BB33)))</formula>
    </cfRule>
  </conditionalFormatting>
  <conditionalFormatting sqref="BB50:BG50">
    <cfRule type="containsText" dxfId="30" priority="27" operator="containsText" text="výsledn">
      <formula>NOT(ISERROR(SEARCH("výsledn",BB50)))</formula>
    </cfRule>
  </conditionalFormatting>
  <pageMargins left="0.7" right="0.7" top="0.78740157499999996" bottom="0.78740157499999996" header="0.3" footer="0.3"/>
  <pageSetup paperSize="9" scale="70" fitToHeight="6" orientation="landscape"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41AA-8C6F-4AD1-8B7E-6C6A44E2E35C}">
  <sheetPr codeName="List32">
    <tabColor rgb="FF92D050"/>
  </sheetPr>
  <dimension ref="A1:BF116"/>
  <sheetViews>
    <sheetView workbookViewId="0"/>
  </sheetViews>
  <sheetFormatPr defaultColWidth="8.5703125" defaultRowHeight="0" customHeight="1" zeroHeight="1" outlineLevelRow="4"/>
  <cols>
    <col min="1" max="8" width="3.28515625" style="1" customWidth="1"/>
    <col min="9" max="12" width="3.28515625" style="12" customWidth="1"/>
    <col min="13" max="14" width="11.7109375" style="12" customWidth="1"/>
    <col min="15" max="16" width="7.5703125" style="12" bestFit="1" customWidth="1"/>
    <col min="17" max="17" width="7.7109375" style="12" bestFit="1" customWidth="1"/>
    <col min="18" max="18" width="7.42578125" style="12" bestFit="1" customWidth="1"/>
    <col min="19" max="19" width="5.140625" style="12" bestFit="1" customWidth="1"/>
    <col min="20" max="20" width="9.5703125" style="12" customWidth="1"/>
    <col min="21" max="21" width="11.85546875" style="12" customWidth="1"/>
    <col min="22" max="22" width="8.5703125" style="12" customWidth="1"/>
    <col min="23" max="23" width="10.7109375" style="12" bestFit="1" customWidth="1"/>
    <col min="24" max="24" width="10.7109375" style="1" bestFit="1" customWidth="1"/>
    <col min="25" max="25" width="19.42578125" style="1" customWidth="1"/>
    <col min="26" max="26" width="21" style="1" hidden="1" customWidth="1"/>
    <col min="27" max="27" width="16.42578125" style="1" hidden="1" customWidth="1"/>
    <col min="28" max="28" width="22.140625" style="1" hidden="1" customWidth="1"/>
    <col min="29" max="29" width="12.85546875" style="1" customWidth="1"/>
    <col min="30" max="30" width="20.5703125" style="1" customWidth="1"/>
    <col min="31" max="31" width="18.140625" style="1" customWidth="1"/>
    <col min="32" max="32" width="3" style="1" bestFit="1" customWidth="1"/>
    <col min="33" max="33" width="16" style="1" customWidth="1"/>
    <col min="34" max="34" width="36.5703125" style="1" customWidth="1"/>
    <col min="35" max="38" width="8.5703125" style="1"/>
    <col min="39" max="39" width="149.42578125" style="1" customWidth="1"/>
    <col min="40" max="40" width="8.5703125" style="1"/>
    <col min="41" max="41" width="17.140625" style="1" customWidth="1"/>
    <col min="42" max="47" width="20.140625" style="1" customWidth="1"/>
    <col min="48" max="49" width="7.7109375" style="1" customWidth="1"/>
    <col min="50" max="50" width="11.5703125" style="1" customWidth="1"/>
    <col min="51" max="51" width="7.7109375" style="1" customWidth="1"/>
    <col min="52" max="52" width="18.28515625" style="1" customWidth="1"/>
    <col min="53" max="60" width="37.7109375" style="1" customWidth="1"/>
    <col min="61" max="16384" width="8.5703125" style="1"/>
  </cols>
  <sheetData>
    <row r="1" spans="1:32" ht="15.75" customHeight="1">
      <c r="D1" s="337"/>
      <c r="E1" s="337"/>
      <c r="F1" s="337"/>
      <c r="G1" s="337"/>
      <c r="H1" s="337"/>
      <c r="I1" s="337"/>
      <c r="J1" s="337"/>
      <c r="T1" s="1"/>
      <c r="U1" s="1"/>
      <c r="V1" s="1"/>
      <c r="W1" s="1"/>
      <c r="AC1" s="393"/>
    </row>
    <row r="2" spans="1:32" ht="15.75" outlineLevel="1" thickBot="1">
      <c r="E2" s="337"/>
      <c r="F2" s="337"/>
      <c r="G2" s="337"/>
      <c r="H2" s="337"/>
      <c r="I2" s="337"/>
      <c r="J2" s="337"/>
      <c r="M2" s="12">
        <f>IF(Zakaznik!K23="Dostawa na adres",Hlavní!V39,0)</f>
        <v>0</v>
      </c>
      <c r="X2" s="12"/>
    </row>
    <row r="3" spans="1:32" ht="24" outlineLevel="4" thickBot="1">
      <c r="E3" s="337"/>
      <c r="F3" s="337"/>
      <c r="G3" s="337"/>
      <c r="H3" s="337"/>
      <c r="I3" s="337"/>
      <c r="J3" s="337"/>
      <c r="O3" s="789"/>
      <c r="P3" s="789"/>
      <c r="Y3" s="311"/>
      <c r="AC3" s="422" t="s">
        <v>3541</v>
      </c>
      <c r="AD3" s="423"/>
      <c r="AE3" s="424"/>
    </row>
    <row r="4" spans="1:32" ht="15" outlineLevel="4">
      <c r="E4" s="337"/>
      <c r="F4" s="337"/>
      <c r="G4" s="337"/>
      <c r="H4" s="337"/>
      <c r="I4" s="337"/>
      <c r="J4" s="337"/>
      <c r="Y4" s="450"/>
      <c r="AC4" s="334" t="s">
        <v>3542</v>
      </c>
      <c r="AD4" s="460" t="s">
        <v>4375</v>
      </c>
      <c r="AE4" s="335" t="s">
        <v>4376</v>
      </c>
    </row>
    <row r="5" spans="1:32" ht="15" outlineLevel="4">
      <c r="E5" s="337"/>
      <c r="F5" s="337"/>
      <c r="G5" s="337"/>
      <c r="H5" s="337"/>
      <c r="I5" s="337"/>
      <c r="J5" s="337"/>
      <c r="Y5" s="10"/>
      <c r="AC5" s="332" t="s">
        <v>3556</v>
      </c>
      <c r="AD5" s="329" t="s">
        <v>4374</v>
      </c>
      <c r="AE5" s="336" t="s">
        <v>4380</v>
      </c>
    </row>
    <row r="6" spans="1:32" ht="15.75" outlineLevel="4" thickBot="1">
      <c r="E6" s="337"/>
      <c r="F6" s="337"/>
      <c r="G6" s="337"/>
      <c r="H6" s="337"/>
      <c r="I6" s="337"/>
      <c r="J6" s="337"/>
      <c r="Y6" s="10"/>
      <c r="AC6" s="315" t="s">
        <v>4290</v>
      </c>
      <c r="AD6" s="418" t="s">
        <v>4329</v>
      </c>
      <c r="AE6" s="333" t="s">
        <v>4330</v>
      </c>
    </row>
    <row r="7" spans="1:32" ht="15" outlineLevel="4">
      <c r="E7" s="337"/>
      <c r="F7" s="337"/>
      <c r="G7" s="337"/>
      <c r="H7" s="337"/>
      <c r="I7" s="337"/>
      <c r="J7" s="337"/>
    </row>
    <row r="8" spans="1:32" ht="15" outlineLevel="4">
      <c r="E8" s="337"/>
      <c r="F8" s="337"/>
      <c r="G8" s="337"/>
      <c r="H8" s="337"/>
      <c r="I8" s="337"/>
      <c r="J8" s="337"/>
    </row>
    <row r="9" spans="1:32" ht="15" outlineLevel="4">
      <c r="E9" s="337"/>
      <c r="F9" s="337"/>
      <c r="G9" s="337"/>
      <c r="H9" s="337"/>
      <c r="I9" s="337"/>
      <c r="J9" s="337"/>
      <c r="Z9" s="337"/>
      <c r="AA9" s="337"/>
      <c r="AB9" s="337"/>
      <c r="AC9" s="337"/>
      <c r="AD9" s="337"/>
    </row>
    <row r="10" spans="1:32" ht="15" outlineLevel="4">
      <c r="Z10" s="426"/>
      <c r="AA10" s="426"/>
      <c r="AB10" s="426"/>
      <c r="AC10" s="426">
        <v>1400</v>
      </c>
      <c r="AD10" s="426">
        <v>2850</v>
      </c>
    </row>
    <row r="11" spans="1:32" ht="15.75" outlineLevel="4">
      <c r="Y11" s="259"/>
      <c r="Z11" s="426"/>
      <c r="AA11" s="426"/>
      <c r="AB11" s="426"/>
      <c r="AC11" s="426">
        <v>0</v>
      </c>
      <c r="AD11" s="426">
        <v>1401</v>
      </c>
    </row>
    <row r="12" spans="1:32" ht="15.75">
      <c r="X12" s="259"/>
      <c r="Y12" s="1" t="s">
        <v>4294</v>
      </c>
      <c r="Z12" s="427"/>
      <c r="AA12" s="427"/>
      <c r="AB12" s="427"/>
      <c r="AC12" s="427">
        <v>35</v>
      </c>
      <c r="AD12" s="427">
        <v>71</v>
      </c>
    </row>
    <row r="13" spans="1:32" ht="21">
      <c r="E13" s="386"/>
      <c r="F13" s="386"/>
      <c r="G13" s="386"/>
      <c r="H13" s="387"/>
      <c r="I13" s="387"/>
      <c r="J13" s="387"/>
      <c r="V13" s="12">
        <f>V14-20</f>
        <v>-20</v>
      </c>
      <c r="W13" s="12" t="str">
        <f>IF(V13&gt;0,"přebývá!","")</f>
        <v/>
      </c>
      <c r="Z13" s="428"/>
      <c r="AA13" s="428"/>
      <c r="AB13" s="428"/>
      <c r="AC13" s="428" t="s">
        <v>4325</v>
      </c>
      <c r="AD13" s="428" t="s">
        <v>4326</v>
      </c>
    </row>
    <row r="14" spans="1:32" ht="26.25" customHeight="1">
      <c r="B14" s="238"/>
      <c r="E14" s="337"/>
      <c r="F14" s="337"/>
      <c r="G14" s="337"/>
      <c r="H14" s="337"/>
      <c r="I14" s="337"/>
      <c r="J14" s="337"/>
      <c r="T14" s="790" t="s">
        <v>4304</v>
      </c>
      <c r="V14" s="12">
        <f>SUM(V16:V21)</f>
        <v>0</v>
      </c>
      <c r="Y14" s="1" t="s">
        <v>4300</v>
      </c>
      <c r="Z14" s="337"/>
      <c r="AA14" s="337"/>
      <c r="AB14" s="337"/>
      <c r="AC14" s="337">
        <v>12</v>
      </c>
      <c r="AD14" s="337">
        <v>6</v>
      </c>
      <c r="AF14" s="1">
        <v>14</v>
      </c>
    </row>
    <row r="15" spans="1:32" ht="15.75">
      <c r="A15" s="396"/>
      <c r="B15" s="160"/>
      <c r="D15" s="337"/>
      <c r="E15" s="389"/>
      <c r="F15" s="389"/>
      <c r="G15" s="389"/>
      <c r="H15" s="389"/>
      <c r="I15" s="389"/>
      <c r="J15" s="389"/>
      <c r="M15" s="12" t="s">
        <v>4301</v>
      </c>
      <c r="S15" s="12" t="s">
        <v>4331</v>
      </c>
      <c r="T15" s="790"/>
      <c r="V15" s="12" t="s">
        <v>4305</v>
      </c>
      <c r="W15" s="12" t="s">
        <v>4306</v>
      </c>
      <c r="X15" s="1" t="s">
        <v>4306</v>
      </c>
      <c r="Y15" s="259" t="s">
        <v>4334</v>
      </c>
      <c r="AC15" s="1">
        <f>CEILING(SUM(AC16:AC21)/AC14,1)</f>
        <v>0</v>
      </c>
      <c r="AD15" s="1">
        <f>CEILING(SUM(AD16:AD21)/AD14,1)</f>
        <v>0</v>
      </c>
      <c r="AF15" s="1">
        <v>15</v>
      </c>
    </row>
    <row r="16" spans="1:32" ht="18" customHeight="1">
      <c r="A16" s="396"/>
      <c r="B16" s="160"/>
      <c r="D16" s="337"/>
      <c r="E16" s="390"/>
      <c r="F16" s="390"/>
      <c r="G16" s="390"/>
      <c r="H16" s="390"/>
      <c r="I16" s="390"/>
      <c r="J16" s="390"/>
      <c r="M16" s="12" t="s">
        <v>4307</v>
      </c>
      <c r="N16" s="12" t="str">
        <f>IF(AND(S16&gt;$AC$11,S16&lt;=$AC$10),"tubus A","ne")</f>
        <v>ne</v>
      </c>
      <c r="O16" s="12" t="str">
        <f>IF(AND(S16&gt;$AC$11,S16&lt;=$AD$10),"tubus B","ne")</f>
        <v>ne</v>
      </c>
      <c r="S16" s="12">
        <f>MAX(W16:X16)</f>
        <v>0</v>
      </c>
      <c r="T16" s="12" t="str">
        <f>IF(N16&lt;&gt;"ne",N16,IF(O16&lt;&gt;"NE",O16,"ne"))</f>
        <v>ne</v>
      </c>
      <c r="U16" s="12" t="e">
        <f>_xlfn.TEXTBEFORE(T16," ")</f>
        <v>#N/A</v>
      </c>
      <c r="V16" s="12">
        <f>Ram_1!$H$28</f>
        <v>0</v>
      </c>
      <c r="W16" s="12">
        <f>Ram_1!$AI$30</f>
        <v>0</v>
      </c>
      <c r="X16" s="1">
        <f>Ram_1!$AR$14</f>
        <v>0</v>
      </c>
      <c r="Y16" s="8" t="s">
        <v>4307</v>
      </c>
      <c r="Z16" s="8"/>
      <c r="AA16" s="8"/>
      <c r="AB16" s="8"/>
      <c r="AC16" s="8">
        <f t="shared" ref="AC16:AC21" si="0">IF($M$2&lt;&gt;3,0,IFERROR((IF(T16=$AC$13,V16,0)),0))</f>
        <v>0</v>
      </c>
      <c r="AD16" s="8">
        <f t="shared" ref="AD16:AD21" si="1">IF($M$2&lt;&gt;3,0,IFERROR((IF(T16=$AD$13,V16,0)),0))</f>
        <v>0</v>
      </c>
      <c r="AE16" s="12" t="s">
        <v>4307</v>
      </c>
      <c r="AF16" s="1">
        <v>16</v>
      </c>
    </row>
    <row r="17" spans="1:58" ht="15">
      <c r="B17" s="337"/>
      <c r="D17" s="337"/>
      <c r="E17" s="337"/>
      <c r="F17" s="337"/>
      <c r="G17" s="337"/>
      <c r="H17" s="337"/>
      <c r="I17" s="337"/>
      <c r="J17" s="337"/>
      <c r="M17" s="12" t="s">
        <v>4308</v>
      </c>
      <c r="N17" s="12" t="str">
        <f t="shared" ref="N17:N21" si="2">IF(AND(S17&gt;$AC$11,S17&lt;=$AC$10),"tubus A","ne")</f>
        <v>ne</v>
      </c>
      <c r="O17" s="12" t="str">
        <f t="shared" ref="O17:O21" si="3">IF(AND(S17&gt;$AC$11,S17&lt;=$AD$10),"tubus B","ne")</f>
        <v>ne</v>
      </c>
      <c r="S17" s="12">
        <f>MAX(W17:X17)</f>
        <v>0</v>
      </c>
      <c r="T17" s="12" t="str">
        <f t="shared" ref="T17:T21" si="4">IF(N17&lt;&gt;"ne",N17,IF(O17&lt;&gt;"NE",O17,"ne"))</f>
        <v>ne</v>
      </c>
      <c r="U17" s="12" t="e">
        <f t="shared" ref="U17:U21" si="5">_xlfn.TEXTBEFORE(T17," ")</f>
        <v>#N/A</v>
      </c>
      <c r="V17" s="12">
        <f>Ram_2!$H$28</f>
        <v>0</v>
      </c>
      <c r="W17" s="12">
        <f>Ram_2!$AI$30</f>
        <v>0</v>
      </c>
      <c r="X17" s="1">
        <f>Ram_2!$AR$14</f>
        <v>0</v>
      </c>
      <c r="Y17" s="8" t="s">
        <v>4308</v>
      </c>
      <c r="Z17" s="8"/>
      <c r="AA17" s="8"/>
      <c r="AB17" s="8"/>
      <c r="AC17" s="8">
        <f t="shared" si="0"/>
        <v>0</v>
      </c>
      <c r="AD17" s="8">
        <f t="shared" si="1"/>
        <v>0</v>
      </c>
      <c r="AE17" s="12" t="s">
        <v>4308</v>
      </c>
      <c r="AF17" s="1">
        <v>17</v>
      </c>
    </row>
    <row r="18" spans="1:58" ht="15">
      <c r="D18" s="337"/>
      <c r="E18" s="337"/>
      <c r="F18" s="337"/>
      <c r="G18" s="337"/>
      <c r="H18" s="337"/>
      <c r="I18" s="337"/>
      <c r="J18" s="337"/>
      <c r="M18" s="12" t="s">
        <v>4309</v>
      </c>
      <c r="N18" s="12" t="str">
        <f t="shared" si="2"/>
        <v>ne</v>
      </c>
      <c r="O18" s="12" t="str">
        <f t="shared" si="3"/>
        <v>ne</v>
      </c>
      <c r="S18" s="12">
        <f t="shared" ref="S18:S20" si="6">MAX(W18:X18)</f>
        <v>0</v>
      </c>
      <c r="T18" s="12" t="str">
        <f t="shared" si="4"/>
        <v>ne</v>
      </c>
      <c r="U18" s="12" t="e">
        <f t="shared" si="5"/>
        <v>#N/A</v>
      </c>
      <c r="V18" s="12">
        <f>Ram_3!$H$28</f>
        <v>0</v>
      </c>
      <c r="W18" s="12">
        <f>Ram_3!$AI$30</f>
        <v>0</v>
      </c>
      <c r="X18" s="1">
        <f>Ram_3!$AR$14</f>
        <v>0</v>
      </c>
      <c r="Y18" s="8" t="s">
        <v>4309</v>
      </c>
      <c r="Z18" s="8"/>
      <c r="AA18" s="8"/>
      <c r="AB18" s="8"/>
      <c r="AC18" s="8">
        <f t="shared" si="0"/>
        <v>0</v>
      </c>
      <c r="AD18" s="8">
        <f t="shared" si="1"/>
        <v>0</v>
      </c>
      <c r="AE18" s="12" t="s">
        <v>4309</v>
      </c>
      <c r="AF18" s="1">
        <v>18</v>
      </c>
    </row>
    <row r="19" spans="1:58" ht="16.5" customHeight="1">
      <c r="D19" s="337"/>
      <c r="E19" s="389"/>
      <c r="F19" s="389"/>
      <c r="G19" s="389"/>
      <c r="H19" s="337"/>
      <c r="I19" s="337"/>
      <c r="J19" s="337"/>
      <c r="M19" s="12" t="s">
        <v>4310</v>
      </c>
      <c r="N19" s="12" t="str">
        <f t="shared" si="2"/>
        <v>ne</v>
      </c>
      <c r="O19" s="12" t="str">
        <f t="shared" si="3"/>
        <v>ne</v>
      </c>
      <c r="S19" s="12">
        <f t="shared" si="6"/>
        <v>0</v>
      </c>
      <c r="T19" s="12" t="str">
        <f t="shared" si="4"/>
        <v>ne</v>
      </c>
      <c r="U19" s="12" t="e">
        <f t="shared" si="5"/>
        <v>#N/A</v>
      </c>
      <c r="V19" s="12">
        <f>Ram_4!$H$28</f>
        <v>0</v>
      </c>
      <c r="W19" s="12">
        <f>Ram_4!$AI$30</f>
        <v>0</v>
      </c>
      <c r="X19" s="1">
        <f>Ram_4!$AR$14</f>
        <v>0</v>
      </c>
      <c r="Y19" s="8" t="s">
        <v>4310</v>
      </c>
      <c r="Z19" s="8"/>
      <c r="AA19" s="8"/>
      <c r="AB19" s="8"/>
      <c r="AC19" s="8">
        <f t="shared" si="0"/>
        <v>0</v>
      </c>
      <c r="AD19" s="8">
        <f t="shared" si="1"/>
        <v>0</v>
      </c>
      <c r="AE19" s="12" t="s">
        <v>4310</v>
      </c>
      <c r="AF19" s="1">
        <v>19</v>
      </c>
    </row>
    <row r="20" spans="1:58" ht="16.5" customHeight="1">
      <c r="D20" s="337"/>
      <c r="E20" s="390"/>
      <c r="F20" s="390"/>
      <c r="G20" s="390"/>
      <c r="H20" s="390"/>
      <c r="I20" s="390"/>
      <c r="J20" s="390"/>
      <c r="M20" s="12" t="s">
        <v>4311</v>
      </c>
      <c r="N20" s="12" t="str">
        <f t="shared" si="2"/>
        <v>ne</v>
      </c>
      <c r="O20" s="12" t="str">
        <f t="shared" si="3"/>
        <v>ne</v>
      </c>
      <c r="S20" s="12">
        <f t="shared" si="6"/>
        <v>0</v>
      </c>
      <c r="T20" s="12" t="str">
        <f t="shared" si="4"/>
        <v>ne</v>
      </c>
      <c r="U20" s="12" t="e">
        <f t="shared" si="5"/>
        <v>#N/A</v>
      </c>
      <c r="V20" s="12">
        <f>Ram_5!$H$28</f>
        <v>0</v>
      </c>
      <c r="W20" s="12">
        <f>Ram_5!$AI$30</f>
        <v>0</v>
      </c>
      <c r="X20" s="1">
        <f>Ram_5!$AR$14</f>
        <v>0</v>
      </c>
      <c r="Y20" s="8" t="s">
        <v>4311</v>
      </c>
      <c r="Z20" s="8"/>
      <c r="AA20" s="8"/>
      <c r="AB20" s="8"/>
      <c r="AC20" s="8">
        <f t="shared" si="0"/>
        <v>0</v>
      </c>
      <c r="AD20" s="8">
        <f t="shared" si="1"/>
        <v>0</v>
      </c>
      <c r="AE20" s="12" t="s">
        <v>4311</v>
      </c>
      <c r="AF20" s="1">
        <v>20</v>
      </c>
    </row>
    <row r="21" spans="1:58" ht="15">
      <c r="E21" s="337"/>
      <c r="F21" s="337"/>
      <c r="G21" s="337"/>
      <c r="H21" s="390"/>
      <c r="I21" s="390"/>
      <c r="J21" s="390"/>
      <c r="M21" s="12" t="s">
        <v>4312</v>
      </c>
      <c r="N21" s="12" t="str">
        <f t="shared" si="2"/>
        <v>ne</v>
      </c>
      <c r="O21" s="12" t="str">
        <f t="shared" si="3"/>
        <v>ne</v>
      </c>
      <c r="S21" s="12">
        <f>MAX(W21:X21)</f>
        <v>0</v>
      </c>
      <c r="T21" s="12" t="str">
        <f t="shared" si="4"/>
        <v>ne</v>
      </c>
      <c r="U21" s="12" t="e">
        <f t="shared" si="5"/>
        <v>#N/A</v>
      </c>
      <c r="V21" s="12">
        <f>Ram_6!$H$28</f>
        <v>0</v>
      </c>
      <c r="W21" s="12">
        <f>Ram_6!$AI$30</f>
        <v>0</v>
      </c>
      <c r="X21" s="1">
        <f>Ram_6!$AR$14</f>
        <v>0</v>
      </c>
      <c r="Y21" s="8" t="s">
        <v>4312</v>
      </c>
      <c r="Z21" s="8"/>
      <c r="AA21" s="8"/>
      <c r="AB21" s="8"/>
      <c r="AC21" s="8">
        <f t="shared" si="0"/>
        <v>0</v>
      </c>
      <c r="AD21" s="8">
        <f t="shared" si="1"/>
        <v>0</v>
      </c>
      <c r="AE21" s="12" t="s">
        <v>4312</v>
      </c>
      <c r="AF21" s="1">
        <v>21</v>
      </c>
    </row>
    <row r="22" spans="1:58" ht="15">
      <c r="D22" s="337"/>
      <c r="E22" s="337"/>
      <c r="F22" s="337"/>
      <c r="G22" s="337"/>
      <c r="H22" s="337"/>
      <c r="I22" s="337"/>
      <c r="J22" s="337"/>
      <c r="AC22" s="1">
        <f>SUM(AC16:AC21)</f>
        <v>0</v>
      </c>
      <c r="AD22" s="1">
        <f>SUM(AD16:AD21)</f>
        <v>0</v>
      </c>
      <c r="AE22" s="1" t="s">
        <v>4332</v>
      </c>
      <c r="AF22" s="1">
        <v>22</v>
      </c>
    </row>
    <row r="23" spans="1:58" s="12" customFormat="1" ht="18.75">
      <c r="A23" s="1"/>
      <c r="B23" s="1"/>
      <c r="C23" s="1"/>
      <c r="D23" s="337"/>
      <c r="E23" s="392"/>
      <c r="F23" s="392"/>
      <c r="G23" s="392"/>
      <c r="H23" s="392"/>
      <c r="I23" s="392"/>
      <c r="J23" s="392"/>
      <c r="X23" s="1"/>
      <c r="Y23" s="1"/>
      <c r="Z23" s="1"/>
      <c r="AA23" s="1"/>
      <c r="AB23" s="1"/>
      <c r="AC23" s="1"/>
      <c r="AD23" s="1">
        <f>IF(AD22=0,0,$AD$14*AD15-AD22)</f>
        <v>0</v>
      </c>
      <c r="AE23" s="1" t="s">
        <v>4320</v>
      </c>
      <c r="AF23" s="1">
        <v>23</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s="12" customFormat="1" ht="15">
      <c r="A24" s="1"/>
      <c r="B24" s="1"/>
      <c r="C24" s="1"/>
      <c r="D24" s="337"/>
      <c r="E24" s="337"/>
      <c r="F24" s="337"/>
      <c r="G24" s="337"/>
      <c r="H24" s="337"/>
      <c r="I24" s="337"/>
      <c r="J24" s="337"/>
      <c r="X24" s="1"/>
      <c r="Y24" s="1"/>
      <c r="Z24" s="1"/>
      <c r="AA24" s="1"/>
      <c r="AB24" s="1"/>
      <c r="AC24" s="1">
        <f>IF(AD22=0,AC22,IF(AD23&gt;=AC22,0,AC22-AD23))</f>
        <v>0</v>
      </c>
      <c r="AD24" s="1">
        <f>IF(AD23&gt;=AC22,AC22+AD22,AD23+AD22)</f>
        <v>0</v>
      </c>
      <c r="AE24" s="1" t="s">
        <v>4333</v>
      </c>
      <c r="AF24" s="1">
        <v>24</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s="12" customFormat="1" ht="15">
      <c r="A25" s="1"/>
      <c r="B25" s="1"/>
      <c r="C25" s="1"/>
      <c r="D25" s="1"/>
      <c r="E25" s="337"/>
      <c r="F25" s="337"/>
      <c r="G25" s="337"/>
      <c r="H25" s="337"/>
      <c r="I25" s="337"/>
      <c r="J25" s="337"/>
      <c r="X25" s="1"/>
      <c r="Y25" s="1"/>
      <c r="Z25" s="1"/>
      <c r="AA25" s="1"/>
      <c r="AB25" s="1"/>
      <c r="AC25" s="1">
        <f>CEILING(AC24/AC14,1)</f>
        <v>0</v>
      </c>
      <c r="AD25" s="1">
        <f>CEILING(AD24/AD14,1)</f>
        <v>0</v>
      </c>
      <c r="AE25" s="1" t="s">
        <v>4335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s="12" customFormat="1" ht="15">
      <c r="A26" s="1"/>
      <c r="B26" s="1"/>
      <c r="C26" s="1"/>
      <c r="D26" s="1"/>
      <c r="E26" s="337"/>
      <c r="F26" s="337"/>
      <c r="G26" s="337"/>
      <c r="H26" s="337"/>
      <c r="I26" s="337"/>
      <c r="J26" s="337"/>
      <c r="X26" s="1"/>
      <c r="Y26" s="1"/>
      <c r="Z26" s="1"/>
      <c r="AA26" s="1"/>
      <c r="AB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2" customFormat="1" ht="15">
      <c r="A27" s="1"/>
      <c r="B27" s="1"/>
      <c r="C27" s="1"/>
      <c r="D27" s="1"/>
      <c r="E27" s="337"/>
      <c r="F27" s="337"/>
      <c r="G27" s="337"/>
      <c r="H27" s="337"/>
      <c r="I27" s="337"/>
      <c r="J27" s="337"/>
      <c r="X27" s="1"/>
      <c r="Y27" s="1"/>
      <c r="Z27" s="1"/>
      <c r="AA27" s="1"/>
      <c r="AB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s="12" customFormat="1" ht="15">
      <c r="A28" s="1"/>
      <c r="B28" s="1"/>
      <c r="C28" s="1"/>
      <c r="D28" s="1"/>
      <c r="E28" s="337"/>
      <c r="F28" s="337"/>
      <c r="G28" s="337"/>
      <c r="H28" s="337"/>
      <c r="I28" s="337"/>
      <c r="J28" s="337"/>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1:58" s="12" customFormat="1" ht="15">
      <c r="A29" s="1"/>
      <c r="B29" s="1"/>
      <c r="C29" s="1"/>
      <c r="D29" s="1"/>
      <c r="E29" s="337"/>
      <c r="F29" s="337"/>
      <c r="G29" s="337"/>
      <c r="H29" s="337"/>
      <c r="I29" s="337"/>
      <c r="J29" s="337"/>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12" customFormat="1" ht="15">
      <c r="A30" s="1"/>
      <c r="B30" s="1"/>
      <c r="C30" s="1"/>
      <c r="D30" s="1"/>
      <c r="E30" s="337"/>
      <c r="F30" s="337"/>
      <c r="G30" s="337"/>
      <c r="H30" s="337"/>
      <c r="I30" s="337"/>
      <c r="J30" s="337"/>
      <c r="X30" s="1"/>
      <c r="Y30" s="1"/>
      <c r="Z30" s="1"/>
      <c r="AA30" s="1"/>
      <c r="AB30" s="1"/>
      <c r="AC30" s="1">
        <f>AC25*AC12</f>
        <v>0</v>
      </c>
      <c r="AD30" s="1">
        <f>AD25*AD12</f>
        <v>0</v>
      </c>
      <c r="AE30" s="1" t="s">
        <v>3556</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12" customFormat="1" ht="14.85" customHeight="1">
      <c r="A31" s="1"/>
      <c r="B31" s="1"/>
      <c r="C31" s="1"/>
      <c r="D31" s="1"/>
      <c r="E31" s="337"/>
      <c r="F31" s="337"/>
      <c r="G31" s="337"/>
      <c r="H31" s="337"/>
      <c r="I31" s="337"/>
      <c r="J31" s="337"/>
      <c r="X31" s="1"/>
      <c r="Y31" s="1"/>
      <c r="Z31" s="1"/>
      <c r="AA31" s="1"/>
      <c r="AB31" s="1"/>
      <c r="AC31" s="1"/>
      <c r="AD31" s="1">
        <f>SUM(AC30:AD30)</f>
        <v>0</v>
      </c>
      <c r="AE31" s="1" t="s">
        <v>4336</v>
      </c>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12" customFormat="1" ht="14.85" customHeight="1">
      <c r="A32" s="1"/>
      <c r="B32" s="1"/>
      <c r="C32" s="1"/>
      <c r="D32" s="1"/>
      <c r="E32" s="337"/>
      <c r="F32" s="337"/>
      <c r="G32" s="337"/>
      <c r="H32" s="337"/>
      <c r="I32" s="337"/>
      <c r="J32" s="337"/>
      <c r="X32" s="1"/>
      <c r="Y32" s="1"/>
      <c r="Z32" s="1"/>
      <c r="AA32" s="1"/>
      <c r="AB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12" customFormat="1" ht="14.85" customHeight="1">
      <c r="A33" s="1"/>
      <c r="B33" s="1"/>
      <c r="C33" s="1"/>
      <c r="D33" s="1"/>
      <c r="E33" s="1"/>
      <c r="F33" s="1"/>
      <c r="G33" s="1"/>
      <c r="H33" s="1"/>
      <c r="X33" s="1"/>
      <c r="Y33" s="1"/>
      <c r="Z33" s="1"/>
      <c r="AB33" s="1"/>
      <c r="AC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12" customFormat="1" ht="14.85" customHeight="1">
      <c r="A34" s="1"/>
      <c r="B34" s="1"/>
      <c r="C34" s="1"/>
      <c r="D34" s="1"/>
      <c r="E34" s="1"/>
      <c r="F34" s="1"/>
      <c r="G34" s="1"/>
      <c r="H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12" customFormat="1" ht="14.85" customHeight="1">
      <c r="A35" s="1"/>
      <c r="B35" s="1"/>
      <c r="C35" s="1"/>
      <c r="D35" s="1"/>
      <c r="E35" s="1"/>
      <c r="F35" s="1"/>
      <c r="G35" s="1"/>
      <c r="H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12" customFormat="1" ht="27" customHeight="1">
      <c r="A36" s="1"/>
      <c r="B36" s="1"/>
      <c r="C36" s="1"/>
      <c r="D36" s="1"/>
      <c r="E36" s="386"/>
      <c r="F36" s="386"/>
      <c r="G36" s="386"/>
      <c r="H36" s="387"/>
      <c r="I36" s="387"/>
      <c r="J36" s="387"/>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12" customFormat="1" ht="18" customHeight="1">
      <c r="A37" s="1"/>
      <c r="B37" s="238"/>
      <c r="C37" s="1"/>
      <c r="D37" s="1"/>
      <c r="E37" s="337"/>
      <c r="F37" s="337"/>
      <c r="G37" s="337"/>
      <c r="H37" s="337"/>
      <c r="I37" s="337"/>
      <c r="J37" s="337"/>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s="12" customFormat="1" ht="14.85" customHeight="1">
      <c r="A38" s="396"/>
      <c r="B38" s="160"/>
      <c r="C38" s="1"/>
      <c r="D38" s="337"/>
      <c r="E38" s="389"/>
      <c r="F38" s="389"/>
      <c r="G38" s="389"/>
      <c r="H38" s="389"/>
      <c r="I38" s="389"/>
      <c r="J38" s="389"/>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s="12" customFormat="1" ht="14.85" customHeight="1">
      <c r="A39" s="396"/>
      <c r="B39" s="160"/>
      <c r="C39" s="1"/>
      <c r="D39" s="337"/>
      <c r="E39" s="390"/>
      <c r="F39" s="390"/>
      <c r="G39" s="390"/>
      <c r="H39" s="390"/>
      <c r="I39" s="390"/>
      <c r="J39" s="390"/>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s="12" customFormat="1" ht="14.85" customHeight="1">
      <c r="A40" s="1"/>
      <c r="B40" s="337"/>
      <c r="C40" s="1"/>
      <c r="D40" s="337"/>
      <c r="E40" s="337"/>
      <c r="F40" s="337"/>
      <c r="G40" s="337"/>
      <c r="H40" s="337"/>
      <c r="I40" s="337"/>
      <c r="J40" s="337"/>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s="12" customFormat="1" ht="14.85" customHeight="1">
      <c r="A41" s="1"/>
      <c r="B41" s="1"/>
      <c r="C41" s="1"/>
      <c r="D41" s="337"/>
      <c r="E41" s="337"/>
      <c r="F41" s="337"/>
      <c r="G41" s="337"/>
      <c r="H41" s="337"/>
      <c r="I41" s="337"/>
      <c r="J41" s="337"/>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row>
    <row r="42" spans="1:58" s="12" customFormat="1" ht="14.85" customHeight="1">
      <c r="A42" s="1"/>
      <c r="B42" s="1"/>
      <c r="C42" s="1"/>
      <c r="D42" s="337"/>
      <c r="E42" s="389"/>
      <c r="F42" s="389"/>
      <c r="G42" s="389"/>
      <c r="H42" s="337"/>
      <c r="I42" s="337"/>
      <c r="J42" s="337"/>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s="12" customFormat="1" ht="14.85" customHeight="1">
      <c r="A43" s="1"/>
      <c r="B43" s="1"/>
      <c r="C43" s="1"/>
      <c r="D43" s="337"/>
      <c r="E43" s="390"/>
      <c r="F43" s="390"/>
      <c r="G43" s="390"/>
      <c r="H43" s="390"/>
      <c r="I43" s="390"/>
      <c r="J43" s="390"/>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8" s="12" customFormat="1" ht="14.85" customHeight="1">
      <c r="A44" s="1"/>
      <c r="B44" s="1"/>
      <c r="C44" s="1"/>
      <c r="D44" s="1"/>
      <c r="E44" s="337"/>
      <c r="F44" s="337"/>
      <c r="G44" s="337"/>
      <c r="H44" s="390"/>
      <c r="I44" s="390"/>
      <c r="J44" s="390"/>
      <c r="X44" s="1"/>
      <c r="Y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8" s="12" customFormat="1" ht="14.85" customHeight="1">
      <c r="A45" s="1"/>
      <c r="B45" s="1"/>
      <c r="C45" s="1"/>
      <c r="D45" s="337"/>
      <c r="E45" s="337"/>
      <c r="F45" s="337"/>
      <c r="G45" s="337"/>
      <c r="H45" s="337"/>
      <c r="I45" s="337"/>
      <c r="J45" s="337"/>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8" s="12" customFormat="1" ht="14.85" customHeight="1">
      <c r="A46" s="1"/>
      <c r="B46" s="1"/>
      <c r="C46" s="1"/>
      <c r="D46" s="337"/>
      <c r="E46" s="392"/>
      <c r="F46" s="392"/>
      <c r="G46" s="392"/>
      <c r="H46" s="392"/>
      <c r="I46" s="392"/>
      <c r="J46" s="392"/>
      <c r="X46" s="1"/>
      <c r="Y46" s="1"/>
      <c r="Z46" s="1"/>
      <c r="AA46" s="1"/>
      <c r="AB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8" s="12" customFormat="1" ht="14.85" customHeight="1">
      <c r="A47" s="1"/>
      <c r="B47" s="1"/>
      <c r="C47" s="1"/>
      <c r="D47" s="337"/>
      <c r="E47" s="337"/>
      <c r="F47" s="337"/>
      <c r="G47" s="337"/>
      <c r="H47" s="337"/>
      <c r="I47" s="337"/>
      <c r="J47" s="337"/>
      <c r="X47" s="1"/>
      <c r="Y47" s="1"/>
      <c r="Z47" s="1"/>
      <c r="AA47" s="1"/>
      <c r="AB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8" s="12" customFormat="1" ht="14.85" customHeight="1">
      <c r="A48" s="1"/>
      <c r="B48" s="1"/>
      <c r="C48" s="1"/>
      <c r="D48" s="1"/>
      <c r="E48" s="337"/>
      <c r="F48" s="337"/>
      <c r="G48" s="337"/>
      <c r="H48" s="337"/>
      <c r="I48" s="337"/>
      <c r="J48" s="337"/>
      <c r="X48" s="1"/>
      <c r="Y48" s="1"/>
      <c r="Z48" s="1"/>
      <c r="AA48" s="1"/>
      <c r="AB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12" customFormat="1" ht="14.85" customHeight="1">
      <c r="A49" s="1"/>
      <c r="B49" s="1"/>
      <c r="C49" s="1"/>
      <c r="D49" s="1"/>
      <c r="E49" s="337"/>
      <c r="F49" s="337"/>
      <c r="G49" s="337"/>
      <c r="H49" s="337"/>
      <c r="I49" s="337"/>
      <c r="J49" s="337"/>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12" customFormat="1" ht="14.85" customHeight="1">
      <c r="A50" s="1"/>
      <c r="B50" s="1"/>
      <c r="C50" s="1"/>
      <c r="D50" s="1"/>
      <c r="E50" s="337"/>
      <c r="F50" s="337"/>
      <c r="G50" s="337"/>
      <c r="H50" s="337"/>
      <c r="I50" s="337"/>
      <c r="J50" s="337"/>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s="12" customFormat="1" ht="14.85" customHeight="1">
      <c r="A51" s="1"/>
      <c r="B51" s="1"/>
      <c r="C51" s="1"/>
      <c r="D51" s="1"/>
      <c r="E51" s="337"/>
      <c r="F51" s="337"/>
      <c r="G51" s="337"/>
      <c r="H51" s="337"/>
      <c r="I51" s="337"/>
      <c r="J51" s="337"/>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s="12" customFormat="1" ht="14.85" customHeight="1">
      <c r="A52" s="1"/>
      <c r="B52" s="1"/>
      <c r="C52" s="1"/>
      <c r="D52" s="1"/>
      <c r="E52" s="337"/>
      <c r="F52" s="337"/>
      <c r="G52" s="337"/>
      <c r="H52" s="337"/>
      <c r="I52" s="337"/>
      <c r="J52" s="337"/>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s="12" customFormat="1" ht="14.85" customHeight="1">
      <c r="A53" s="1"/>
      <c r="B53" s="1"/>
      <c r="C53" s="1"/>
      <c r="D53" s="1"/>
      <c r="E53" s="337"/>
      <c r="F53" s="337"/>
      <c r="G53" s="337"/>
      <c r="H53" s="337"/>
      <c r="I53" s="337"/>
      <c r="J53" s="337"/>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s="12" customFormat="1" ht="14.85" customHeight="1">
      <c r="A54" s="1"/>
      <c r="B54" s="1"/>
      <c r="C54" s="1"/>
      <c r="D54" s="1"/>
      <c r="E54" s="337"/>
      <c r="F54" s="337"/>
      <c r="G54" s="337"/>
      <c r="H54" s="337"/>
      <c r="I54" s="337"/>
      <c r="J54" s="337"/>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s="12" customFormat="1" ht="14.85" customHeight="1">
      <c r="A55" s="1"/>
      <c r="B55" s="1"/>
      <c r="C55" s="1"/>
      <c r="D55" s="1"/>
      <c r="E55" s="337"/>
      <c r="F55" s="337"/>
      <c r="G55" s="337"/>
      <c r="H55" s="337"/>
      <c r="I55" s="337"/>
      <c r="J55" s="337"/>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s="12" customFormat="1" ht="14.85" customHeight="1">
      <c r="A56" s="1"/>
      <c r="B56" s="1"/>
      <c r="C56" s="1"/>
      <c r="D56" s="1"/>
      <c r="E56" s="1"/>
      <c r="F56" s="1"/>
      <c r="G56" s="1"/>
      <c r="H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s="12" customFormat="1" ht="14.85" customHeight="1">
      <c r="A57" s="1"/>
      <c r="B57" s="1"/>
      <c r="C57" s="1"/>
      <c r="D57" s="1"/>
      <c r="E57" s="1"/>
      <c r="F57" s="1"/>
      <c r="G57" s="1"/>
      <c r="H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1:58" s="12" customFormat="1" ht="14.85" customHeight="1">
      <c r="A58" s="1"/>
      <c r="B58" s="1"/>
      <c r="C58" s="1"/>
      <c r="D58" s="1"/>
      <c r="E58" s="1"/>
      <c r="F58" s="1"/>
      <c r="G58" s="1"/>
      <c r="H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1:58" s="12" customFormat="1" ht="18.75" customHeight="1">
      <c r="A59" s="1"/>
      <c r="B59" s="1"/>
      <c r="C59" s="1"/>
      <c r="D59" s="1"/>
      <c r="E59" s="386"/>
      <c r="F59" s="386"/>
      <c r="G59" s="386"/>
      <c r="H59" s="387"/>
      <c r="I59" s="387"/>
      <c r="J59" s="387"/>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1:58" s="12" customFormat="1" ht="19.5" customHeight="1">
      <c r="A60" s="1"/>
      <c r="B60" s="238"/>
      <c r="C60" s="1"/>
      <c r="D60" s="1"/>
      <c r="E60" s="337"/>
      <c r="F60" s="337"/>
      <c r="G60" s="337"/>
      <c r="H60" s="337"/>
      <c r="I60" s="337"/>
      <c r="J60" s="337"/>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s="12" customFormat="1" ht="14.85" customHeight="1">
      <c r="A61" s="396"/>
      <c r="B61" s="160"/>
      <c r="C61" s="1"/>
      <c r="D61" s="337"/>
      <c r="E61" s="389"/>
      <c r="F61" s="389"/>
      <c r="G61" s="389"/>
      <c r="H61" s="389"/>
      <c r="I61" s="389"/>
      <c r="J61" s="389"/>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s="12" customFormat="1" ht="14.85" customHeight="1">
      <c r="A62" s="396"/>
      <c r="B62" s="160"/>
      <c r="C62" s="1"/>
      <c r="D62" s="337"/>
      <c r="E62" s="390"/>
      <c r="F62" s="390"/>
      <c r="G62" s="390"/>
      <c r="H62" s="390"/>
      <c r="I62" s="390"/>
      <c r="J62" s="390"/>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1:58" s="12" customFormat="1" ht="14.85" customHeight="1">
      <c r="A63" s="1"/>
      <c r="B63" s="337"/>
      <c r="C63" s="1"/>
      <c r="D63" s="337"/>
      <c r="E63" s="337"/>
      <c r="F63" s="337"/>
      <c r="G63" s="337"/>
      <c r="H63" s="337"/>
      <c r="I63" s="337"/>
      <c r="J63" s="337"/>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1:58" s="12" customFormat="1" ht="14.85" customHeight="1">
      <c r="A64" s="1"/>
      <c r="B64" s="1"/>
      <c r="C64" s="1"/>
      <c r="D64" s="337"/>
      <c r="E64" s="337"/>
      <c r="F64" s="337"/>
      <c r="G64" s="337"/>
      <c r="H64" s="337"/>
      <c r="I64" s="337"/>
      <c r="J64" s="337"/>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1:58" s="12" customFormat="1" ht="14.85" customHeight="1">
      <c r="A65" s="1"/>
      <c r="B65" s="1"/>
      <c r="C65" s="1"/>
      <c r="D65" s="337"/>
      <c r="E65" s="389"/>
      <c r="F65" s="389"/>
      <c r="G65" s="389"/>
      <c r="H65" s="337"/>
      <c r="I65" s="337"/>
      <c r="J65" s="337"/>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row r="66" spans="1:58" s="12" customFormat="1" ht="14.85" customHeight="1">
      <c r="A66" s="1"/>
      <c r="B66" s="1"/>
      <c r="C66" s="1"/>
      <c r="D66" s="337"/>
      <c r="E66" s="390"/>
      <c r="F66" s="390"/>
      <c r="G66" s="390"/>
      <c r="H66" s="390"/>
      <c r="I66" s="390"/>
      <c r="J66" s="390"/>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row>
    <row r="67" spans="1:58" s="12" customFormat="1" ht="14.85" customHeight="1">
      <c r="A67" s="1"/>
      <c r="B67" s="1"/>
      <c r="C67" s="1"/>
      <c r="D67" s="1"/>
      <c r="E67" s="337"/>
      <c r="F67" s="337"/>
      <c r="G67" s="337"/>
      <c r="H67" s="390"/>
      <c r="I67" s="390"/>
      <c r="J67" s="390"/>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row>
    <row r="68" spans="1:58" s="12" customFormat="1" ht="14.85" customHeight="1">
      <c r="A68" s="1"/>
      <c r="B68" s="1"/>
      <c r="C68" s="1"/>
      <c r="D68" s="337"/>
      <c r="E68" s="337"/>
      <c r="F68" s="337"/>
      <c r="G68" s="337"/>
      <c r="H68" s="337"/>
      <c r="I68" s="337"/>
      <c r="J68" s="337"/>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row>
    <row r="69" spans="1:58" s="12" customFormat="1" ht="14.85" customHeight="1">
      <c r="A69" s="1"/>
      <c r="B69" s="1"/>
      <c r="C69" s="1"/>
      <c r="D69" s="337"/>
      <c r="E69" s="392"/>
      <c r="F69" s="392"/>
      <c r="G69" s="392"/>
      <c r="H69" s="392"/>
      <c r="I69" s="392"/>
      <c r="J69" s="39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row>
    <row r="70" spans="1:58" s="12" customFormat="1" ht="14.85" customHeight="1">
      <c r="A70" s="1"/>
      <c r="B70" s="1"/>
      <c r="C70" s="1"/>
      <c r="D70" s="337"/>
      <c r="E70" s="337"/>
      <c r="F70" s="337"/>
      <c r="G70" s="337"/>
      <c r="H70" s="337"/>
      <c r="I70" s="337"/>
      <c r="J70" s="337"/>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row>
    <row r="71" spans="1:58" s="12" customFormat="1" ht="14.85" customHeight="1">
      <c r="A71" s="1"/>
      <c r="B71" s="1"/>
      <c r="C71" s="1"/>
      <c r="D71" s="1"/>
      <c r="E71" s="337"/>
      <c r="F71" s="337"/>
      <c r="G71" s="337"/>
      <c r="H71" s="337"/>
      <c r="I71" s="337"/>
      <c r="J71" s="337"/>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s="12" customFormat="1" ht="14.85" customHeight="1">
      <c r="A72" s="1"/>
      <c r="B72" s="1"/>
      <c r="C72" s="1"/>
      <c r="D72" s="1"/>
      <c r="E72" s="337"/>
      <c r="F72" s="337"/>
      <c r="G72" s="337"/>
      <c r="H72" s="337"/>
      <c r="I72" s="337"/>
      <c r="J72" s="337"/>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row>
    <row r="73" spans="1:58" s="12" customFormat="1" ht="14.85" customHeight="1">
      <c r="A73" s="1"/>
      <c r="B73" s="1"/>
      <c r="C73" s="1"/>
      <c r="D73" s="1"/>
      <c r="E73" s="337"/>
      <c r="F73" s="337"/>
      <c r="G73" s="337"/>
      <c r="H73" s="337"/>
      <c r="I73" s="337"/>
      <c r="J73" s="337"/>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row>
    <row r="74" spans="1:58" s="12" customFormat="1" ht="14.85" customHeight="1">
      <c r="A74" s="1"/>
      <c r="B74" s="1"/>
      <c r="C74" s="1"/>
      <c r="D74" s="1"/>
      <c r="E74" s="337"/>
      <c r="F74" s="337"/>
      <c r="G74" s="337"/>
      <c r="H74" s="337"/>
      <c r="I74" s="337"/>
      <c r="J74" s="337"/>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row>
    <row r="75" spans="1:58" s="12" customFormat="1" ht="14.85" customHeight="1">
      <c r="A75" s="1"/>
      <c r="B75" s="1"/>
      <c r="C75" s="1"/>
      <c r="D75" s="1"/>
      <c r="E75" s="337"/>
      <c r="F75" s="337"/>
      <c r="G75" s="337"/>
      <c r="H75" s="337"/>
      <c r="I75" s="337"/>
      <c r="J75" s="337"/>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s="12" customFormat="1" ht="14.85" customHeight="1">
      <c r="A76" s="1"/>
      <c r="B76" s="1"/>
      <c r="C76" s="1"/>
      <c r="D76" s="1"/>
      <c r="E76" s="337"/>
      <c r="F76" s="337"/>
      <c r="G76" s="337"/>
      <c r="H76" s="337"/>
      <c r="I76" s="337"/>
      <c r="J76" s="337"/>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s="12" customFormat="1" ht="14.85" customHeight="1">
      <c r="A77" s="1"/>
      <c r="B77" s="1"/>
      <c r="C77" s="1"/>
      <c r="D77" s="1"/>
      <c r="E77" s="337"/>
      <c r="F77" s="337"/>
      <c r="G77" s="337"/>
      <c r="H77" s="337"/>
      <c r="I77" s="337"/>
      <c r="J77" s="337"/>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row>
    <row r="78" spans="1:58" s="12" customFormat="1" ht="14.85" customHeight="1">
      <c r="A78" s="1"/>
      <c r="B78" s="1"/>
      <c r="C78" s="1"/>
      <c r="D78" s="1"/>
      <c r="E78" s="337"/>
      <c r="F78" s="337"/>
      <c r="G78" s="337"/>
      <c r="H78" s="337"/>
      <c r="I78" s="337"/>
      <c r="J78" s="337"/>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s="12" customFormat="1" ht="14.85" customHeight="1">
      <c r="A79" s="1"/>
      <c r="B79" s="1"/>
      <c r="C79" s="1"/>
      <c r="D79" s="1"/>
      <c r="E79" s="1"/>
      <c r="F79" s="1"/>
      <c r="G79" s="1"/>
      <c r="H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row>
    <row r="80" spans="1:58" s="12" customFormat="1" ht="14.85" customHeight="1">
      <c r="A80" s="1"/>
      <c r="B80" s="1"/>
      <c r="C80" s="1"/>
      <c r="D80" s="1"/>
      <c r="E80" s="1"/>
      <c r="F80" s="1"/>
      <c r="G80" s="1"/>
      <c r="H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1:58" s="12" customFormat="1" ht="14.85" customHeight="1">
      <c r="A81" s="1"/>
      <c r="B81" s="1"/>
      <c r="C81" s="1"/>
      <c r="D81" s="1"/>
      <c r="E81" s="1"/>
      <c r="F81" s="1"/>
      <c r="G81" s="1"/>
      <c r="H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1:58" s="12" customFormat="1" ht="23.25" customHeight="1">
      <c r="A82" s="1"/>
      <c r="B82" s="1"/>
      <c r="C82" s="1"/>
      <c r="D82" s="1"/>
      <c r="E82" s="386"/>
      <c r="F82" s="386"/>
      <c r="G82" s="386"/>
      <c r="H82" s="387"/>
      <c r="I82" s="387"/>
      <c r="J82" s="387"/>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2" customFormat="1" ht="14.85" customHeight="1">
      <c r="A83" s="1"/>
      <c r="B83" s="238"/>
      <c r="C83" s="1"/>
      <c r="D83" s="1"/>
      <c r="E83" s="337"/>
      <c r="F83" s="337"/>
      <c r="G83" s="337"/>
      <c r="H83" s="337"/>
      <c r="I83" s="337"/>
      <c r="J83" s="337"/>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1:58" s="12" customFormat="1" ht="14.85" customHeight="1">
      <c r="A84" s="396"/>
      <c r="B84" s="160"/>
      <c r="C84" s="1"/>
      <c r="D84" s="337"/>
      <c r="E84" s="389"/>
      <c r="F84" s="389"/>
      <c r="G84" s="389"/>
      <c r="H84" s="389"/>
      <c r="I84" s="389"/>
      <c r="J84" s="389"/>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1:58" s="12" customFormat="1" ht="14.85" customHeight="1">
      <c r="A85" s="396"/>
      <c r="B85" s="160"/>
      <c r="C85" s="1"/>
      <c r="D85" s="337"/>
      <c r="E85" s="390"/>
      <c r="F85" s="390"/>
      <c r="G85" s="390"/>
      <c r="H85" s="390"/>
      <c r="I85" s="390"/>
      <c r="J85" s="390"/>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1:58" s="12" customFormat="1" ht="14.85" customHeight="1">
      <c r="A86" s="1"/>
      <c r="B86" s="337"/>
      <c r="C86" s="1"/>
      <c r="D86" s="337"/>
      <c r="E86" s="337"/>
      <c r="F86" s="337"/>
      <c r="G86" s="337"/>
      <c r="H86" s="337"/>
      <c r="I86" s="337"/>
      <c r="J86" s="337"/>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1:58" s="12" customFormat="1" ht="14.85" customHeight="1">
      <c r="A87" s="1"/>
      <c r="B87" s="1"/>
      <c r="C87" s="1"/>
      <c r="D87" s="337"/>
      <c r="E87" s="337"/>
      <c r="F87" s="337"/>
      <c r="G87" s="337"/>
      <c r="H87" s="337"/>
      <c r="I87" s="337"/>
      <c r="J87" s="337"/>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1:58" s="12" customFormat="1" ht="14.85" customHeight="1">
      <c r="A88" s="1"/>
      <c r="B88" s="1"/>
      <c r="C88" s="1"/>
      <c r="D88" s="337"/>
      <c r="E88" s="389"/>
      <c r="F88" s="389"/>
      <c r="G88" s="389"/>
      <c r="H88" s="337"/>
      <c r="I88" s="337"/>
      <c r="J88" s="337"/>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1:58" s="12" customFormat="1" ht="14.85" customHeight="1">
      <c r="A89" s="1"/>
      <c r="B89" s="1"/>
      <c r="C89" s="1"/>
      <c r="D89" s="337"/>
      <c r="E89" s="390"/>
      <c r="F89" s="390"/>
      <c r="G89" s="390"/>
      <c r="H89" s="390"/>
      <c r="I89" s="390"/>
      <c r="J89" s="390"/>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1:58" s="12" customFormat="1" ht="14.85" customHeight="1">
      <c r="A90" s="1"/>
      <c r="B90" s="1"/>
      <c r="C90" s="1"/>
      <c r="D90" s="1"/>
      <c r="E90" s="337"/>
      <c r="F90" s="337"/>
      <c r="G90" s="337"/>
      <c r="H90" s="390"/>
      <c r="I90" s="390"/>
      <c r="J90" s="390"/>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1:58" s="12" customFormat="1" ht="14.85" customHeight="1">
      <c r="A91" s="1"/>
      <c r="B91" s="1"/>
      <c r="C91" s="1"/>
      <c r="D91" s="337"/>
      <c r="E91" s="337"/>
      <c r="F91" s="337"/>
      <c r="G91" s="337"/>
      <c r="H91" s="337"/>
      <c r="I91" s="337"/>
      <c r="J91" s="337"/>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1:58" s="12" customFormat="1" ht="14.85" customHeight="1">
      <c r="A92" s="1"/>
      <c r="B92" s="1"/>
      <c r="C92" s="1"/>
      <c r="D92" s="337"/>
      <c r="E92" s="392"/>
      <c r="F92" s="392"/>
      <c r="G92" s="392"/>
      <c r="H92" s="392"/>
      <c r="I92" s="392"/>
      <c r="J92" s="39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1:58" s="12" customFormat="1" ht="14.85" customHeight="1">
      <c r="A93" s="1"/>
      <c r="B93" s="1"/>
      <c r="C93" s="1"/>
      <c r="D93" s="337"/>
      <c r="E93" s="337"/>
      <c r="F93" s="337"/>
      <c r="G93" s="337"/>
      <c r="H93" s="337"/>
      <c r="I93" s="337"/>
      <c r="J93" s="337"/>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1:58" s="12" customFormat="1" ht="14.85" customHeight="1">
      <c r="A94" s="1"/>
      <c r="B94" s="1"/>
      <c r="C94" s="1"/>
      <c r="D94" s="1"/>
      <c r="E94" s="337"/>
      <c r="F94" s="337"/>
      <c r="G94" s="337"/>
      <c r="H94" s="337"/>
      <c r="I94" s="337"/>
      <c r="J94" s="337"/>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1:58" s="12" customFormat="1" ht="14.85" customHeight="1">
      <c r="A95" s="1"/>
      <c r="B95" s="1"/>
      <c r="C95" s="1"/>
      <c r="D95" s="1"/>
      <c r="E95" s="337"/>
      <c r="F95" s="337"/>
      <c r="G95" s="337"/>
      <c r="H95" s="337"/>
      <c r="I95" s="337"/>
      <c r="J95" s="337"/>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1:58" s="12" customFormat="1" ht="14.85" customHeight="1">
      <c r="A96" s="1"/>
      <c r="B96" s="1"/>
      <c r="C96" s="1"/>
      <c r="D96" s="1"/>
      <c r="E96" s="337"/>
      <c r="F96" s="337"/>
      <c r="G96" s="337"/>
      <c r="H96" s="337"/>
      <c r="I96" s="337"/>
      <c r="J96" s="337"/>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s="12" customFormat="1" ht="14.85" customHeight="1">
      <c r="A97" s="1"/>
      <c r="B97" s="1"/>
      <c r="C97" s="1"/>
      <c r="D97" s="1"/>
      <c r="E97" s="337"/>
      <c r="F97" s="337"/>
      <c r="G97" s="337"/>
      <c r="H97" s="337"/>
      <c r="I97" s="337"/>
      <c r="J97" s="337"/>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s="12" customFormat="1" ht="14.85" customHeight="1">
      <c r="A98" s="1"/>
      <c r="B98" s="1"/>
      <c r="C98" s="1"/>
      <c r="D98" s="1"/>
      <c r="E98" s="337"/>
      <c r="F98" s="337"/>
      <c r="G98" s="337"/>
      <c r="H98" s="337"/>
      <c r="I98" s="337"/>
      <c r="J98" s="337"/>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row>
    <row r="99" spans="1:58" s="12" customFormat="1" ht="14.85" customHeight="1">
      <c r="A99" s="1"/>
      <c r="B99" s="1"/>
      <c r="C99" s="1"/>
      <c r="D99" s="1"/>
      <c r="E99" s="337"/>
      <c r="F99" s="337"/>
      <c r="G99" s="337"/>
      <c r="H99" s="337"/>
      <c r="I99" s="337"/>
      <c r="J99" s="337"/>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row>
    <row r="100" spans="1:58" s="12" customFormat="1" ht="14.85" customHeight="1">
      <c r="A100" s="1"/>
      <c r="B100" s="1"/>
      <c r="C100" s="1"/>
      <c r="D100" s="1"/>
      <c r="E100" s="337"/>
      <c r="F100" s="337"/>
      <c r="G100" s="337"/>
      <c r="H100" s="337"/>
      <c r="I100" s="337"/>
      <c r="J100" s="337"/>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row>
    <row r="101" spans="1:58" s="12" customFormat="1" ht="14.85" customHeight="1">
      <c r="A101" s="1"/>
      <c r="B101" s="1"/>
      <c r="C101" s="1"/>
      <c r="D101" s="1"/>
      <c r="E101" s="337"/>
      <c r="F101" s="337"/>
      <c r="G101" s="337"/>
      <c r="H101" s="337"/>
      <c r="I101" s="337"/>
      <c r="J101" s="337"/>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row>
    <row r="102" spans="1:58" s="12" customFormat="1" ht="14.85" customHeight="1">
      <c r="A102" s="1"/>
      <c r="B102" s="1"/>
      <c r="C102" s="1"/>
      <c r="D102" s="1"/>
      <c r="E102" s="1"/>
      <c r="F102" s="1"/>
      <c r="G102" s="1"/>
      <c r="H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row>
    <row r="103" spans="1:58" ht="14.85" customHeight="1"/>
    <row r="104" spans="1:58" ht="14.85" customHeight="1"/>
    <row r="105" spans="1:58" ht="14.85" customHeight="1"/>
    <row r="106" spans="1:58" ht="14.85" customHeight="1"/>
    <row r="107" spans="1:58" ht="14.85" customHeight="1"/>
    <row r="108" spans="1:58" ht="14.85" customHeight="1"/>
    <row r="109" spans="1:58" ht="14.85" customHeight="1"/>
    <row r="110" spans="1:58" ht="14.85" customHeight="1"/>
    <row r="111" spans="1:58" ht="14.85" customHeight="1"/>
    <row r="112" spans="1:58" ht="14.85" customHeight="1"/>
    <row r="113" ht="32.85" customHeight="1"/>
    <row r="114" ht="14.85" customHeight="1"/>
    <row r="115" ht="14.85" customHeight="1"/>
    <row r="116" ht="14.85" customHeight="1"/>
  </sheetData>
  <sheetProtection selectLockedCells="1"/>
  <mergeCells count="2">
    <mergeCell ref="O3:P3"/>
    <mergeCell ref="T14:T15"/>
  </mergeCells>
  <conditionalFormatting sqref="E69">
    <cfRule type="expression" dxfId="29" priority="45">
      <formula>$E$59=$E$69</formula>
    </cfRule>
  </conditionalFormatting>
  <conditionalFormatting sqref="E92">
    <cfRule type="expression" dxfId="28" priority="33">
      <formula>$E$59=$E$69</formula>
    </cfRule>
  </conditionalFormatting>
  <conditionalFormatting sqref="E67:G67">
    <cfRule type="containsText" dxfId="27" priority="40" operator="containsText" text="balík">
      <formula>NOT(ISERROR(SEARCH("balík",E67)))</formula>
    </cfRule>
  </conditionalFormatting>
  <conditionalFormatting sqref="E90:G90">
    <cfRule type="containsText" dxfId="26" priority="28" operator="containsText" text="balík">
      <formula>NOT(ISERROR(SEARCH("balík",E90)))</formula>
    </cfRule>
  </conditionalFormatting>
  <conditionalFormatting sqref="E9:J9 F10">
    <cfRule type="containsText" dxfId="25" priority="55" operator="containsText" text="výsledn">
      <formula>NOT(ISERROR(SEARCH("výsledn",E9)))</formula>
    </cfRule>
  </conditionalFormatting>
  <conditionalFormatting sqref="E17:J17">
    <cfRule type="containsText" dxfId="24" priority="41" operator="containsText" text="paleta">
      <formula>NOT(ISERROR(SEARCH("paleta",E17)))</formula>
    </cfRule>
    <cfRule type="containsText" dxfId="23" priority="42" operator="containsText" text="balík">
      <formula>NOT(ISERROR(SEARCH("balík",E17)))</formula>
    </cfRule>
  </conditionalFormatting>
  <conditionalFormatting sqref="E55:J55">
    <cfRule type="containsText" dxfId="22" priority="52" operator="containsText" text="výsledn">
      <formula>NOT(ISERROR(SEARCH("výsledn",E55)))</formula>
    </cfRule>
  </conditionalFormatting>
  <conditionalFormatting sqref="E63:J63">
    <cfRule type="containsText" dxfId="21" priority="38" operator="containsText" text="paleta">
      <formula>NOT(ISERROR(SEARCH("paleta",E63)))</formula>
    </cfRule>
    <cfRule type="containsText" dxfId="20" priority="39" operator="containsText" text="balík">
      <formula>NOT(ISERROR(SEARCH("balík",E63)))</formula>
    </cfRule>
  </conditionalFormatting>
  <conditionalFormatting sqref="E78:J78">
    <cfRule type="containsText" dxfId="19" priority="49" operator="containsText" text="výsledn">
      <formula>NOT(ISERROR(SEARCH("výsledn",E78)))</formula>
    </cfRule>
  </conditionalFormatting>
  <conditionalFormatting sqref="E86:J86">
    <cfRule type="containsText" dxfId="18" priority="26" operator="containsText" text="paleta">
      <formula>NOT(ISERROR(SEARCH("paleta",E86)))</formula>
    </cfRule>
    <cfRule type="containsText" dxfId="17" priority="27" operator="containsText" text="balík">
      <formula>NOT(ISERROR(SEARCH("balík",E86)))</formula>
    </cfRule>
  </conditionalFormatting>
  <conditionalFormatting sqref="E101:J101">
    <cfRule type="containsText" dxfId="16" priority="37" operator="containsText" text="výsledn">
      <formula>NOT(ISERROR(SEARCH("výsledn",E101)))</formula>
    </cfRule>
  </conditionalFormatting>
  <conditionalFormatting sqref="F8">
    <cfRule type="expression" dxfId="15" priority="53">
      <formula>F9="výsledná zásilka"</formula>
    </cfRule>
  </conditionalFormatting>
  <conditionalFormatting sqref="F54">
    <cfRule type="expression" dxfId="14" priority="50">
      <formula>F55="výsledná zásilka"</formula>
    </cfRule>
  </conditionalFormatting>
  <conditionalFormatting sqref="F69">
    <cfRule type="expression" dxfId="13" priority="48">
      <formula>$F$59=$F$69</formula>
    </cfRule>
  </conditionalFormatting>
  <conditionalFormatting sqref="F92">
    <cfRule type="expression" dxfId="12" priority="36">
      <formula>$F$59=$F$69</formula>
    </cfRule>
  </conditionalFormatting>
  <conditionalFormatting sqref="F100">
    <cfRule type="expression" dxfId="11" priority="31">
      <formula>F101="výsledná zásilka"</formula>
    </cfRule>
  </conditionalFormatting>
  <conditionalFormatting sqref="G69">
    <cfRule type="expression" dxfId="10" priority="44">
      <formula>$G$59=$G$69</formula>
    </cfRule>
  </conditionalFormatting>
  <conditionalFormatting sqref="G92">
    <cfRule type="expression" dxfId="9" priority="30">
      <formula>$G$59=$G$69</formula>
    </cfRule>
  </conditionalFormatting>
  <conditionalFormatting sqref="H8">
    <cfRule type="expression" dxfId="8" priority="54">
      <formula>H9="výsledná zásilka"</formula>
    </cfRule>
  </conditionalFormatting>
  <conditionalFormatting sqref="H54">
    <cfRule type="expression" dxfId="7" priority="51">
      <formula>H55="výsledná zásilka"</formula>
    </cfRule>
  </conditionalFormatting>
  <conditionalFormatting sqref="H69">
    <cfRule type="expression" dxfId="6" priority="47">
      <formula>$H$69=$H$59</formula>
    </cfRule>
  </conditionalFormatting>
  <conditionalFormatting sqref="H92">
    <cfRule type="expression" dxfId="5" priority="35">
      <formula>$H$69=$H$59</formula>
    </cfRule>
  </conditionalFormatting>
  <conditionalFormatting sqref="H100">
    <cfRule type="expression" dxfId="4" priority="32">
      <formula>H101="výsledná zásilka"</formula>
    </cfRule>
  </conditionalFormatting>
  <conditionalFormatting sqref="I69">
    <cfRule type="expression" dxfId="3" priority="43">
      <formula>$I$59=$I$69</formula>
    </cfRule>
  </conditionalFormatting>
  <conditionalFormatting sqref="I92">
    <cfRule type="expression" dxfId="2" priority="29">
      <formula>$I$59=$I$69</formula>
    </cfRule>
  </conditionalFormatting>
  <conditionalFormatting sqref="J69">
    <cfRule type="expression" dxfId="1" priority="46">
      <formula>#REF!=#REF!</formula>
    </cfRule>
  </conditionalFormatting>
  <conditionalFormatting sqref="J92">
    <cfRule type="expression" dxfId="0" priority="34">
      <formula>#REF!=#REF!</formula>
    </cfRule>
  </conditionalFormatting>
  <conditionalFormatting sqref="AG3:AG8 AF3">
    <cfRule type="colorScale" priority="25">
      <colorScale>
        <cfvo type="min"/>
        <cfvo type="percentile" val="50"/>
        <cfvo type="max"/>
        <color rgb="FF63BE7B"/>
        <color rgb="FFFFEB84"/>
        <color rgb="FFF8696B"/>
      </colorScale>
    </cfRule>
  </conditionalFormatting>
  <pageMargins left="0.7" right="0.7" top="0.78740157499999996" bottom="0.78740157499999996" header="0.3" footer="0.3"/>
  <pageSetup paperSize="9" scale="70" fitToHeight="6"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CAEFDBDA0FCC94190EFE398F08066E3" ma:contentTypeVersion="24" ma:contentTypeDescription="Vytvoří nový dokument" ma:contentTypeScope="" ma:versionID="df696fceff1b5af9b6a8c167a2e85ccd">
  <xsd:schema xmlns:xsd="http://www.w3.org/2001/XMLSchema" xmlns:xs="http://www.w3.org/2001/XMLSchema" xmlns:p="http://schemas.microsoft.com/office/2006/metadata/properties" xmlns:ns2="9cacabe1-a925-4c8e-93ad-bc3cc27619b4" xmlns:ns3="cd5ff2c2-d0f5-469d-bf4e-c27dd00b986b" targetNamespace="http://schemas.microsoft.com/office/2006/metadata/properties" ma:root="true" ma:fieldsID="584a3d37de871b69982f4d0436ad91b5" ns2:_="" ns3:_="">
    <xsd:import namespace="9cacabe1-a925-4c8e-93ad-bc3cc27619b4"/>
    <xsd:import namespace="cd5ff2c2-d0f5-469d-bf4e-c27dd00b986b"/>
    <xsd:element name="properties">
      <xsd:complexType>
        <xsd:sequence>
          <xsd:element name="documentManagement">
            <xsd:complexType>
              <xsd:all>
                <xsd:element ref="ns2:Asana"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acabe1-a925-4c8e-93ad-bc3cc27619b4" elementFormDefault="qualified">
    <xsd:import namespace="http://schemas.microsoft.com/office/2006/documentManagement/types"/>
    <xsd:import namespace="http://schemas.microsoft.com/office/infopath/2007/PartnerControls"/>
    <xsd:element name="Asana" ma:index="3" nillable="true" ma:displayName="Asana" ma:description="Odkaz na položku roadmapy do Asany" ma:format="Hyperlink" ma:internalName="Asana"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10562387-14bd-4f08-aca0-9d80027227e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9" nillable="true" ma:displayName="Location" ma:hidden="true"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ff2c2-d0f5-469d-bf4e-c27dd00b986b" elementFormDefault="qualified">
    <xsd:import namespace="http://schemas.microsoft.com/office/2006/documentManagement/types"/>
    <xsd:import namespace="http://schemas.microsoft.com/office/infopath/2007/PartnerControls"/>
    <xsd:element name="SharedWithUsers" ma:index="4"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dílené s podrobnostmi" ma:hidden="true" ma:internalName="SharedWithDetails" ma:readOnly="true">
      <xsd:simpleType>
        <xsd:restriction base="dms:Note"/>
      </xsd:simpleType>
    </xsd:element>
    <xsd:element name="TaxCatchAll" ma:index="12" nillable="true" ma:displayName="Taxonomy Catch All Column" ma:hidden="true" ma:list="{864a384c-dde1-4814-9aab-284c87304fd8}" ma:internalName="TaxCatchAll" ma:readOnly="false" ma:showField="CatchAllData" ma:web="cd5ff2c2-d0f5-469d-bf4e-c27dd00b98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acabe1-a925-4c8e-93ad-bc3cc27619b4">
      <Terms xmlns="http://schemas.microsoft.com/office/infopath/2007/PartnerControls"/>
    </lcf76f155ced4ddcb4097134ff3c332f>
    <Asana xmlns="9cacabe1-a925-4c8e-93ad-bc3cc27619b4">
      <Url xsi:nil="true"/>
      <Description xsi:nil="true"/>
    </Asana>
    <TaxCatchAll xmlns="cd5ff2c2-d0f5-469d-bf4e-c27dd00b986b" xsi:nil="true"/>
  </documentManagement>
</p:properties>
</file>

<file path=customXml/itemProps1.xml><?xml version="1.0" encoding="utf-8"?>
<ds:datastoreItem xmlns:ds="http://schemas.openxmlformats.org/officeDocument/2006/customXml" ds:itemID="{F63DC5C0-9A8E-44A5-8971-A70FA6400C5D}">
  <ds:schemaRefs>
    <ds:schemaRef ds:uri="http://schemas.microsoft.com/sharepoint/v3/contenttype/forms"/>
  </ds:schemaRefs>
</ds:datastoreItem>
</file>

<file path=customXml/itemProps2.xml><?xml version="1.0" encoding="utf-8"?>
<ds:datastoreItem xmlns:ds="http://schemas.openxmlformats.org/officeDocument/2006/customXml" ds:itemID="{12EA7E17-C0BD-4045-81E1-6A248CB0A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acabe1-a925-4c8e-93ad-bc3cc27619b4"/>
    <ds:schemaRef ds:uri="cd5ff2c2-d0f5-469d-bf4e-c27dd00b98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83E9FC-7A4F-40D8-8A52-81C734DA3A8D}">
  <ds:schemaRefs>
    <ds:schemaRef ds:uri="http://purl.org/dc/elements/1.1/"/>
    <ds:schemaRef ds:uri="http://purl.org/dc/dcmitype/"/>
    <ds:schemaRef ds:uri="9cacabe1-a925-4c8e-93ad-bc3cc27619b4"/>
    <ds:schemaRef ds:uri="cd5ff2c2-d0f5-469d-bf4e-c27dd00b986b"/>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28</vt:i4>
      </vt:variant>
      <vt:variant>
        <vt:lpstr>Pojmenované oblasti</vt:lpstr>
      </vt:variant>
      <vt:variant>
        <vt:i4>104</vt:i4>
      </vt:variant>
    </vt:vector>
  </HeadingPairs>
  <TitlesOfParts>
    <vt:vector size="132" baseType="lpstr">
      <vt:lpstr>Hlavní</vt:lpstr>
      <vt:lpstr>Zakaznik</vt:lpstr>
      <vt:lpstr>cennik transportu PL</vt:lpstr>
      <vt:lpstr>Sklo</vt:lpstr>
      <vt:lpstr>rozpad závěsů bez prázdn. řádků</vt:lpstr>
      <vt:lpstr>Translate&amp;Prices&amp;Logo</vt:lpstr>
      <vt:lpstr>Potvrzení</vt:lpstr>
      <vt:lpstr>závěsy dle výklopu</vt:lpstr>
      <vt:lpstr>Ram_1</vt:lpstr>
      <vt:lpstr>kombinace_1</vt:lpstr>
      <vt:lpstr>Ram_2</vt:lpstr>
      <vt:lpstr>kombinace_2</vt:lpstr>
      <vt:lpstr>Ram_3</vt:lpstr>
      <vt:lpstr>kombinace_3</vt:lpstr>
      <vt:lpstr>Ram_4</vt:lpstr>
      <vt:lpstr>kombinace_4</vt:lpstr>
      <vt:lpstr>Ram_5</vt:lpstr>
      <vt:lpstr>kombinace_5</vt:lpstr>
      <vt:lpstr>Ram_6</vt:lpstr>
      <vt:lpstr>kombinace_6</vt:lpstr>
      <vt:lpstr>Posuv</vt:lpstr>
      <vt:lpstr>Doprava Posun</vt:lpstr>
      <vt:lpstr>Typy profilů</vt:lpstr>
      <vt:lpstr>_souhrn</vt:lpstr>
      <vt:lpstr>Barevnice</vt:lpstr>
      <vt:lpstr>_souhrn (2)</vt:lpstr>
      <vt:lpstr>kalkulace dopravy</vt:lpstr>
      <vt:lpstr>doprava demont</vt:lpstr>
      <vt:lpstr>_1</vt:lpstr>
      <vt:lpstr>_2</vt:lpstr>
      <vt:lpstr>_2_strany</vt:lpstr>
      <vt:lpstr>_3</vt:lpstr>
      <vt:lpstr>_4_strany</vt:lpstr>
      <vt:lpstr>_A1</vt:lpstr>
      <vt:lpstr>_A2</vt:lpstr>
      <vt:lpstr>_A3</vt:lpstr>
      <vt:lpstr>_corleone</vt:lpstr>
      <vt:lpstr>_kombinovane_profily</vt:lpstr>
      <vt:lpstr>_N1</vt:lpstr>
      <vt:lpstr>_N2</vt:lpstr>
      <vt:lpstr>_N3</vt:lpstr>
      <vt:lpstr>_profily_síťka</vt:lpstr>
      <vt:lpstr>_ramena_HL</vt:lpstr>
      <vt:lpstr>_Salice_naložený</vt:lpstr>
      <vt:lpstr>_strong_vzpera_horni</vt:lpstr>
      <vt:lpstr>_stronglift_klopna</vt:lpstr>
      <vt:lpstr>_široký_BLUM_naložený</vt:lpstr>
      <vt:lpstr>_široký_BLUM_polonaložený</vt:lpstr>
      <vt:lpstr>_široký_BLUM_vložený</vt:lpstr>
      <vt:lpstr>_široký_HETTICH_naložený</vt:lpstr>
      <vt:lpstr>_široký_HETTICH_polonaložený</vt:lpstr>
      <vt:lpstr>_široký_HETTICH_vložený</vt:lpstr>
      <vt:lpstr>_široký_STRONGHINGESS3_naložený</vt:lpstr>
      <vt:lpstr>_široký_STRONGHINGESS3_polonaložený</vt:lpstr>
      <vt:lpstr>_široký_STRONGHINGESS3_vložený</vt:lpstr>
      <vt:lpstr>_široký_STRONGHINGESS5_naložený</vt:lpstr>
      <vt:lpstr>_široký_STRONGHINGESS5_polonaložený</vt:lpstr>
      <vt:lpstr>_široký_STRONGHINGESS5_vložený</vt:lpstr>
      <vt:lpstr>_úzký_BLUM_naložený</vt:lpstr>
      <vt:lpstr>_úzký_BLUM_naložený_Rocca</vt:lpstr>
      <vt:lpstr>_úzký_BLUM_polonaložený</vt:lpstr>
      <vt:lpstr>_úzký_BLUM_polonaložený_Rocca</vt:lpstr>
      <vt:lpstr>_úzký_BLUM_vložený</vt:lpstr>
      <vt:lpstr>_úzký_BLUM_vložený_Rocca</vt:lpstr>
      <vt:lpstr>_úzký_HETTICH_naložený</vt:lpstr>
      <vt:lpstr>_úzký_HETTICH_polonaložený</vt:lpstr>
      <vt:lpstr>_úzký_HETTICH_vložený</vt:lpstr>
      <vt:lpstr>_úzký_STRONGHINGESS3_naložený</vt:lpstr>
      <vt:lpstr>_úzký_STRONGHINGESS5_naložený</vt:lpstr>
      <vt:lpstr>_vše_profily</vt:lpstr>
      <vt:lpstr>kombinace_2!_vyklopy_blum</vt:lpstr>
      <vt:lpstr>kombinace_3!_vyklopy_blum</vt:lpstr>
      <vt:lpstr>kombinace_4!_vyklopy_blum</vt:lpstr>
      <vt:lpstr>kombinace_5!_vyklopy_blum</vt:lpstr>
      <vt:lpstr>kombinace_6!_vyklopy_blum</vt:lpstr>
      <vt:lpstr>_vyklopy_blum</vt:lpstr>
      <vt:lpstr>_vyklopy_blum_kombo</vt:lpstr>
      <vt:lpstr>kombinace_2!_vyklopy_hettich</vt:lpstr>
      <vt:lpstr>kombinace_3!_vyklopy_hettich</vt:lpstr>
      <vt:lpstr>kombinace_4!_vyklopy_hettich</vt:lpstr>
      <vt:lpstr>kombinace_5!_vyklopy_hettich</vt:lpstr>
      <vt:lpstr>kombinace_6!_vyklopy_hettich</vt:lpstr>
      <vt:lpstr>_vyklopy_hettich</vt:lpstr>
      <vt:lpstr>kombinace_2!_vyklopy_italiana</vt:lpstr>
      <vt:lpstr>kombinace_3!_vyklopy_italiana</vt:lpstr>
      <vt:lpstr>kombinace_4!_vyklopy_italiana</vt:lpstr>
      <vt:lpstr>kombinace_5!_vyklopy_italiana</vt:lpstr>
      <vt:lpstr>kombinace_6!_vyklopy_italiana</vt:lpstr>
      <vt:lpstr>_vyklopy_italiana</vt:lpstr>
      <vt:lpstr>kombinace_2!_vyklopy_kesse</vt:lpstr>
      <vt:lpstr>kombinace_3!_vyklopy_kesse</vt:lpstr>
      <vt:lpstr>kombinace_4!_vyklopy_kesse</vt:lpstr>
      <vt:lpstr>kombinace_5!_vyklopy_kesse</vt:lpstr>
      <vt:lpstr>kombinace_6!_vyklopy_kesse</vt:lpstr>
      <vt:lpstr>_vyklopy_kesse</vt:lpstr>
      <vt:lpstr>_vyklopy_kesse_kombo</vt:lpstr>
      <vt:lpstr>kombinace_2!_vyklopy_strong</vt:lpstr>
      <vt:lpstr>kombinace_3!_vyklopy_strong</vt:lpstr>
      <vt:lpstr>kombinace_4!_vyklopy_strong</vt:lpstr>
      <vt:lpstr>kombinace_5!_vyklopy_strong</vt:lpstr>
      <vt:lpstr>kombinace_6!_vyklopy_strong</vt:lpstr>
      <vt:lpstr>_vyklopy_stronglift</vt:lpstr>
      <vt:lpstr>kombinace_2!_zavesy_blum</vt:lpstr>
      <vt:lpstr>kombinace_3!_zavesy_blum</vt:lpstr>
      <vt:lpstr>kombinace_4!_zavesy_blum</vt:lpstr>
      <vt:lpstr>kombinace_5!_zavesy_blum</vt:lpstr>
      <vt:lpstr>kombinace_6!_zavesy_blum</vt:lpstr>
      <vt:lpstr>_zavesy_blum</vt:lpstr>
      <vt:lpstr>kombinace_2!_zavesy_hettich</vt:lpstr>
      <vt:lpstr>kombinace_3!_zavesy_hettich</vt:lpstr>
      <vt:lpstr>kombinace_4!_zavesy_hettich</vt:lpstr>
      <vt:lpstr>kombinace_5!_zavesy_hettich</vt:lpstr>
      <vt:lpstr>kombinace_6!_zavesy_hettich</vt:lpstr>
      <vt:lpstr>_zavesy_hettich</vt:lpstr>
      <vt:lpstr>_zavesy_kombo</vt:lpstr>
      <vt:lpstr>kombinace_2!_zavesy_strong</vt:lpstr>
      <vt:lpstr>kombinace_3!_zavesy_strong</vt:lpstr>
      <vt:lpstr>kombinace_4!_zavesy_strong</vt:lpstr>
      <vt:lpstr>kombinace_5!_zavesy_strong</vt:lpstr>
      <vt:lpstr>kombinace_6!_zavesy_strong</vt:lpstr>
      <vt:lpstr>_zavesy_stronghingesS5</vt:lpstr>
      <vt:lpstr>_znacka_vyklopy</vt:lpstr>
      <vt:lpstr>_znacka_zavesy</vt:lpstr>
      <vt:lpstr>_znacka_zavesy_proROMA</vt:lpstr>
      <vt:lpstr>_souhrn!Oblast_tisku</vt:lpstr>
      <vt:lpstr>'_souhrn (2)'!Oblast_tisku</vt:lpstr>
      <vt:lpstr>Ram_1!Oblast_tisku</vt:lpstr>
      <vt:lpstr>Ram_2!Oblast_tisku</vt:lpstr>
      <vt:lpstr>Ram_3!Oblast_tisku</vt:lpstr>
      <vt:lpstr>Ram_4!Oblast_tisku</vt:lpstr>
      <vt:lpstr>Ram_5!Oblast_tisku</vt:lpstr>
      <vt:lpstr>Ram_6!Oblast_tisku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ladislav.neuwirth@demos-trade.com</dc:creator>
  <cp:lastModifiedBy>Slaběňák Jiří</cp:lastModifiedBy>
  <cp:lastPrinted>2026-03-27T12:38:13Z</cp:lastPrinted>
  <dcterms:created xsi:type="dcterms:W3CDTF">2008-11-20T10:06:03Z</dcterms:created>
  <dcterms:modified xsi:type="dcterms:W3CDTF">2026-09-16T07:06:33Z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0x0101008CAEFDBDA0FCC94190EFE398F08066E3</vt:lpwstr>
  </property>
  <property fmtid="{D5CDD505-2E9C-101B-9397-08002B2CF9AE}" pid="3" name="MediaServiceImageTags">
    <vt:lpwstr/>
  </property>
</Properties>
</file>